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5355" activeTab="0"/>
  </bookViews>
  <sheets>
    <sheet name="FY 23-24" sheetId="1" r:id="rId1"/>
    <sheet name="FY 22-23" sheetId="2" r:id="rId2"/>
    <sheet name="FY 21-22" sheetId="3" r:id="rId3"/>
    <sheet name="FY 20-21" sheetId="4" r:id="rId4"/>
    <sheet name="FY 19-20" sheetId="5" r:id="rId5"/>
    <sheet name="FY 18-19" sheetId="6" r:id="rId6"/>
    <sheet name="FY 17-18" sheetId="7" r:id="rId7"/>
    <sheet name="FY 16-17" sheetId="8" r:id="rId8"/>
  </sheets>
  <definedNames>
    <definedName name="_xlfn.IFERROR" hidden="1">#NAME?</definedName>
    <definedName name="_xlnm.Print_Area" localSheetId="7">'FY 16-17'!$A$1:$M$66</definedName>
    <definedName name="_xlnm.Print_Area" localSheetId="6">'FY 17-18'!$A$1:$M$66</definedName>
    <definedName name="_xlnm.Print_Area" localSheetId="5">'FY 18-19'!$A$1:$M$66</definedName>
    <definedName name="_xlnm.Print_Area" localSheetId="4">'FY 19-20'!$A$1:$K$62</definedName>
    <definedName name="_xlnm.Print_Area" localSheetId="3">'FY 20-21'!$A$1:$K$62</definedName>
    <definedName name="_xlnm.Print_Area" localSheetId="2">'FY 21-22'!$A$1:$K$62</definedName>
    <definedName name="_xlnm.Print_Area" localSheetId="1">'FY 22-23'!$A$1:$K$62</definedName>
    <definedName name="_xlnm.Print_Area" localSheetId="0">'FY 23-24'!$A$1:$K$62</definedName>
  </definedNames>
  <calcPr fullCalcOnLoad="1"/>
</workbook>
</file>

<file path=xl/sharedStrings.xml><?xml version="1.0" encoding="utf-8"?>
<sst xmlns="http://schemas.openxmlformats.org/spreadsheetml/2006/main" count="508" uniqueCount="70">
  <si>
    <t>Distribution of Net Win:</t>
  </si>
  <si>
    <t>Credits</t>
  </si>
  <si>
    <t>Avg Daily</t>
  </si>
  <si>
    <t>Win/VGM</t>
  </si>
  <si>
    <t>Education</t>
  </si>
  <si>
    <t>Marketing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</si>
  <si>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</si>
  <si>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</si>
  <si>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</si>
  <si>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</si>
  <si>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</si>
  <si>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</si>
  <si>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</si>
  <si>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</si>
  <si>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</si>
  <si>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</si>
  <si>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</si>
  <si>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</si>
  <si>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</si>
  <si>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Net Win:</t>
  </si>
  <si>
    <t>Education Contribution:</t>
  </si>
  <si>
    <t>The portion of Net Win allocated to the State Education Fund for direct aid to education.</t>
  </si>
  <si>
    <t>Marketing Allowance:</t>
  </si>
  <si>
    <t>Distribution of Net Win per Legislation</t>
  </si>
  <si>
    <t>Capital</t>
  </si>
  <si>
    <t>Award</t>
  </si>
  <si>
    <t>Capital Award:</t>
  </si>
  <si>
    <t>The net revenues remaining after payout of prizes to players. (Credits Played less Credits Won)  Net win is commonly</t>
  </si>
  <si>
    <t>referred to as "Hold" or "Net Machine Income".</t>
  </si>
  <si>
    <t>Free Play</t>
  </si>
  <si>
    <t xml:space="preserve">The portion of the Net Win paid to the casino operator to finance the costs of advertising, marketing and promoting </t>
  </si>
  <si>
    <t>video lottery play at the casino.</t>
  </si>
  <si>
    <t>Agent Commission:</t>
  </si>
  <si>
    <t>The portion of Net Win paid to the casino operator as compensation for operating the gaming facility. Most operating expenses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</si>
  <si>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</si>
  <si>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</si>
  <si>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</si>
  <si>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</si>
  <si>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</si>
  <si>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</si>
  <si>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</si>
  <si>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Gaming Floor &amp; Admin:</t>
  </si>
  <si>
    <t>The amount of promotional free play included in Credits Played that is subsidized by the State through a reduction to Net Win.</t>
  </si>
  <si>
    <t>Operator</t>
  </si>
  <si>
    <t>Purses</t>
  </si>
  <si>
    <t>Breeders</t>
  </si>
  <si>
    <t>Agent Commission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</si>
  <si>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</si>
  <si>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</si>
  <si>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</si>
  <si>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</si>
  <si>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The amount of onscreen credits won on a VGM (prize payout).  Also includes any progressive jackpot liability due to players.</t>
  </si>
  <si>
    <t>Fiscal Year 2016/2017</t>
  </si>
  <si>
    <t>All net win annually</t>
  </si>
  <si>
    <t>NYRA Ops</t>
  </si>
  <si>
    <t>NYRA Cap Exp</t>
  </si>
  <si>
    <t>Jake's 58 is not eligible for Capital Award.</t>
  </si>
  <si>
    <t>Jake's 58 Hotel &amp; Casino</t>
  </si>
  <si>
    <t>3635 Express Drive North</t>
  </si>
  <si>
    <t>Islandia, NY 11749</t>
  </si>
  <si>
    <t>www.jakes58.com</t>
  </si>
  <si>
    <t>Fiscal Year 2017/2018</t>
  </si>
  <si>
    <t>Fiscal Year 2018/2019</t>
  </si>
  <si>
    <t>Fiscal Year 2019/2020</t>
  </si>
  <si>
    <t xml:space="preserve">Pursuant to the new provisions, agent commission rates are inclusive of marketing funds.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</si>
  <si>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Chapter 59 of the Laws of 2019 repealed and replaced the existing marketing program.</t>
    </r>
  </si>
  <si>
    <t>Fiscal Year 2020/2021</t>
  </si>
  <si>
    <t>Fiscal Year 2021/2022</t>
  </si>
  <si>
    <t>Fiscal Year 2022/2023</t>
  </si>
  <si>
    <t>Fiscal Year 2023/2024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</si>
</sst>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7" fillId="0" borderId="1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6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/>
    </xf>
    <xf numFmtId="9" fontId="0" fillId="0" borderId="0" xfId="0" applyNumberFormat="1" applyFont="1" applyAlignment="1">
      <alignment horizontal="center"/>
    </xf>
    <xf numFmtId="9" fontId="8" fillId="0" borderId="0" xfId="0" applyNumberFormat="1" applyFont="1" applyBorder="1" applyAlignment="1">
      <alignment horizontal="center"/>
    </xf>
    <xf numFmtId="165" fontId="6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0" fontId="1" fillId="0" borderId="0" xfId="6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165" fontId="0" fillId="0" borderId="0" xfId="61" applyNumberFormat="1" applyFont="1" applyAlignment="1">
      <alignment horizontal="left"/>
      <protection/>
    </xf>
    <xf numFmtId="165" fontId="8" fillId="0" borderId="0" xfId="61" applyNumberFormat="1" applyFont="1" applyAlignment="1">
      <alignment horizontal="left"/>
      <protection/>
    </xf>
    <xf numFmtId="6" fontId="8" fillId="0" borderId="0" xfId="61" applyNumberFormat="1" applyFont="1">
      <alignment vertical="top"/>
      <protection/>
    </xf>
    <xf numFmtId="38" fontId="8" fillId="0" borderId="0" xfId="61" applyNumberFormat="1" applyFont="1">
      <alignment vertical="top"/>
      <protection/>
    </xf>
    <xf numFmtId="6" fontId="7" fillId="0" borderId="0" xfId="61" applyNumberFormat="1" applyFont="1" applyAlignment="1">
      <alignment horizontal="center"/>
      <protection/>
    </xf>
    <xf numFmtId="6" fontId="7" fillId="0" borderId="10" xfId="61" applyNumberFormat="1" applyFont="1" applyBorder="1" applyAlignment="1">
      <alignment horizontal="center"/>
      <protection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6" fontId="7" fillId="0" borderId="10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6" fillId="0" borderId="0" xfId="0" applyNumberFormat="1" applyFont="1" applyAlignment="1">
      <alignment horizontal="center"/>
    </xf>
    <xf numFmtId="6" fontId="6" fillId="0" borderId="11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6" fontId="6" fillId="0" borderId="0" xfId="0" applyNumberFormat="1" applyFont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Font="1" applyAlignment="1">
      <alignment horizontal="left"/>
      <protection/>
    </xf>
    <xf numFmtId="0" fontId="0" fillId="0" borderId="0" xfId="57" applyFont="1" applyAlignment="1">
      <alignment/>
      <protection/>
    </xf>
    <xf numFmtId="9" fontId="8" fillId="0" borderId="0" xfId="57" applyNumberFormat="1" applyFont="1" applyBorder="1" applyAlignment="1">
      <alignment horizontal="center"/>
      <protection/>
    </xf>
    <xf numFmtId="9" fontId="0" fillId="0" borderId="0" xfId="57" applyNumberFormat="1" applyFont="1" applyAlignment="1">
      <alignment horizontal="center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0" fontId="0" fillId="0" borderId="0" xfId="57" applyFont="1" applyAlignment="1">
      <alignment horizontal="left" vertical="top"/>
      <protection/>
    </xf>
    <xf numFmtId="10" fontId="0" fillId="0" borderId="0" xfId="57" applyNumberFormat="1" applyFont="1" applyAlignment="1">
      <alignment horizontal="center"/>
      <protection/>
    </xf>
    <xf numFmtId="10" fontId="0" fillId="0" borderId="0" xfId="57" applyNumberFormat="1" applyFont="1" applyAlignment="1">
      <alignment/>
      <protection/>
    </xf>
    <xf numFmtId="10" fontId="0" fillId="0" borderId="0" xfId="57" applyNumberFormat="1" applyFont="1" applyAlignment="1">
      <alignment horizontal="right"/>
      <protection/>
    </xf>
    <xf numFmtId="0" fontId="0" fillId="0" borderId="0" xfId="57" applyBorder="1" applyAlignment="1">
      <alignment/>
      <protection/>
    </xf>
    <xf numFmtId="6" fontId="7" fillId="0" borderId="0" xfId="57" applyNumberFormat="1" applyFont="1" applyBorder="1" applyAlignment="1">
      <alignment horizontal="center"/>
      <protection/>
    </xf>
    <xf numFmtId="6" fontId="7" fillId="0" borderId="10" xfId="57" applyNumberFormat="1" applyFont="1" applyBorder="1" applyAlignment="1">
      <alignment horizontal="center"/>
      <protection/>
    </xf>
    <xf numFmtId="6" fontId="7" fillId="0" borderId="10" xfId="57" applyNumberFormat="1" applyFont="1" applyBorder="1" applyAlignment="1">
      <alignment horizontal="right"/>
      <protection/>
    </xf>
    <xf numFmtId="6" fontId="6" fillId="0" borderId="10" xfId="57" applyNumberFormat="1" applyFont="1" applyBorder="1" applyAlignment="1">
      <alignment/>
      <protection/>
    </xf>
    <xf numFmtId="0" fontId="8" fillId="0" borderId="0" xfId="57" applyFont="1" applyAlignment="1">
      <alignment/>
      <protection/>
    </xf>
    <xf numFmtId="6" fontId="7" fillId="0" borderId="0" xfId="57" applyNumberFormat="1" applyFont="1" applyAlignment="1">
      <alignment horizontal="center"/>
      <protection/>
    </xf>
    <xf numFmtId="0" fontId="9" fillId="0" borderId="0" xfId="57" applyFont="1" applyAlignment="1">
      <alignment/>
      <protection/>
    </xf>
    <xf numFmtId="165" fontId="0" fillId="0" borderId="0" xfId="57" applyNumberFormat="1" applyAlignment="1">
      <alignment horizontal="left"/>
      <protection/>
    </xf>
    <xf numFmtId="165" fontId="6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6" fillId="0" borderId="11" xfId="57" applyNumberFormat="1" applyFont="1" applyBorder="1" applyAlignment="1">
      <alignment/>
      <protection/>
    </xf>
    <xf numFmtId="6" fontId="6" fillId="0" borderId="0" xfId="57" applyNumberFormat="1" applyFont="1" applyAlignment="1">
      <alignment/>
      <protection/>
    </xf>
    <xf numFmtId="38" fontId="6" fillId="0" borderId="11" xfId="57" applyNumberFormat="1" applyFont="1" applyBorder="1" applyAlignment="1">
      <alignment/>
      <protection/>
    </xf>
    <xf numFmtId="165" fontId="6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38" fontId="7" fillId="0" borderId="10" xfId="57" applyNumberFormat="1" applyFont="1" applyBorder="1" applyAlignment="1">
      <alignment horizontal="center"/>
      <protection/>
    </xf>
    <xf numFmtId="165" fontId="7" fillId="0" borderId="10" xfId="57" applyNumberFormat="1" applyFont="1" applyBorder="1" applyAlignment="1">
      <alignment horizontal="center"/>
      <protection/>
    </xf>
    <xf numFmtId="38" fontId="7" fillId="0" borderId="0" xfId="57" applyNumberFormat="1" applyFont="1" applyAlignment="1">
      <alignment horizontal="center"/>
      <protection/>
    </xf>
    <xf numFmtId="165" fontId="7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1" fillId="0" borderId="0" xfId="61" applyNumberFormat="1" applyFont="1">
      <alignment vertical="top"/>
      <protection/>
    </xf>
    <xf numFmtId="6" fontId="0" fillId="0" borderId="0" xfId="57" applyNumberFormat="1" applyAlignment="1">
      <alignment vertical="center"/>
      <protection/>
    </xf>
    <xf numFmtId="165" fontId="0" fillId="0" borderId="0" xfId="57" applyNumberFormat="1" applyFont="1" applyAlignment="1">
      <alignment horizontal="left" vertical="center"/>
      <protection/>
    </xf>
    <xf numFmtId="6" fontId="7" fillId="0" borderId="10" xfId="57" applyNumberFormat="1" applyFont="1" applyBorder="1" applyAlignment="1">
      <alignment horizontal="center"/>
      <protection/>
    </xf>
    <xf numFmtId="165" fontId="6" fillId="33" borderId="12" xfId="57" applyNumberFormat="1" applyFont="1" applyFill="1" applyBorder="1" applyAlignment="1">
      <alignment horizontal="center"/>
      <protection/>
    </xf>
    <xf numFmtId="165" fontId="6" fillId="33" borderId="13" xfId="57" applyNumberFormat="1" applyFont="1" applyFill="1" applyBorder="1" applyAlignment="1">
      <alignment horizontal="center"/>
      <protection/>
    </xf>
    <xf numFmtId="6" fontId="4" fillId="0" borderId="0" xfId="57" applyNumberFormat="1" applyFont="1" applyAlignment="1">
      <alignment horizontal="center"/>
      <protection/>
    </xf>
    <xf numFmtId="6" fontId="10" fillId="0" borderId="0" xfId="57" applyNumberFormat="1" applyFont="1" applyAlignment="1">
      <alignment horizontal="center"/>
      <protection/>
    </xf>
    <xf numFmtId="6" fontId="11" fillId="0" borderId="0" xfId="53" applyNumberFormat="1" applyFont="1" applyAlignment="1" applyProtection="1">
      <alignment horizontal="center"/>
      <protection/>
    </xf>
    <xf numFmtId="6" fontId="12" fillId="0" borderId="0" xfId="53" applyNumberFormat="1" applyFont="1" applyAlignment="1" applyProtection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165" fontId="6" fillId="33" borderId="14" xfId="57" applyNumberFormat="1" applyFont="1" applyFill="1" applyBorder="1" applyAlignment="1">
      <alignment horizontal="center"/>
      <protection/>
    </xf>
    <xf numFmtId="6" fontId="7" fillId="0" borderId="10" xfId="0" applyNumberFormat="1" applyFont="1" applyBorder="1" applyAlignment="1">
      <alignment horizontal="center"/>
    </xf>
    <xf numFmtId="165" fontId="6" fillId="33" borderId="12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/>
    </xf>
    <xf numFmtId="6" fontId="4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45017</v>
      </c>
      <c r="B15" s="57">
        <v>342831972.53999996</v>
      </c>
      <c r="C15" s="57">
        <v>848912.1799999999</v>
      </c>
      <c r="D15" s="57">
        <f aca="true" t="shared" si="0" ref="D15:D26">IF(ISBLANK(B15),"",B15-C15-E15)</f>
        <v>318933090.73999995</v>
      </c>
      <c r="E15" s="57">
        <v>23049969.619999997</v>
      </c>
      <c r="F15" s="58">
        <v>1000</v>
      </c>
      <c r="G15" s="57">
        <f>_xlfn.IFERROR((E15/F15/30)," ")</f>
        <v>768.3323206666665</v>
      </c>
      <c r="I15" s="57">
        <v>10372486.32</v>
      </c>
      <c r="J15" s="57">
        <v>2304996.9699999997</v>
      </c>
      <c r="K15" s="57">
        <v>10372486.31</v>
      </c>
    </row>
    <row r="16" spans="1:11" ht="12.75">
      <c r="A16" s="59">
        <v>45047</v>
      </c>
      <c r="B16" s="57">
        <v>347587849.17999995</v>
      </c>
      <c r="C16" s="57">
        <v>923904.04</v>
      </c>
      <c r="D16" s="57">
        <f t="shared" si="0"/>
        <v>323777253.7699999</v>
      </c>
      <c r="E16" s="57">
        <v>22886691.370000005</v>
      </c>
      <c r="F16" s="58">
        <v>999</v>
      </c>
      <c r="G16" s="57">
        <f>_xlfn.IFERROR((E16/F16/31)," ")</f>
        <v>739.0193861603541</v>
      </c>
      <c r="I16" s="57">
        <v>10299011.11</v>
      </c>
      <c r="J16" s="57">
        <v>2288669.17</v>
      </c>
      <c r="K16" s="57">
        <v>10299011.11</v>
      </c>
    </row>
    <row r="17" spans="1:11" ht="12.75">
      <c r="A17" s="59">
        <v>45078</v>
      </c>
      <c r="B17" s="57">
        <v>358684812.91999996</v>
      </c>
      <c r="C17" s="57">
        <v>1286633.8300000003</v>
      </c>
      <c r="D17" s="57">
        <f t="shared" si="0"/>
        <v>334436825.07</v>
      </c>
      <c r="E17" s="57">
        <v>22961354.019999992</v>
      </c>
      <c r="F17" s="58">
        <v>1000</v>
      </c>
      <c r="G17" s="57">
        <f aca="true" t="shared" si="1" ref="G17:G22">_xlfn.IFERROR((E17/F17/30)," ")</f>
        <v>765.3784673333331</v>
      </c>
      <c r="I17" s="57">
        <v>10332609.339999998</v>
      </c>
      <c r="J17" s="57">
        <v>2296135.3999999994</v>
      </c>
      <c r="K17" s="57">
        <v>10332609.339999998</v>
      </c>
    </row>
    <row r="18" spans="1:11" ht="12.75">
      <c r="A18" s="59">
        <v>45108</v>
      </c>
      <c r="B18" s="57">
        <v>364964384.73999995</v>
      </c>
      <c r="C18" s="57">
        <v>1112130.0499999998</v>
      </c>
      <c r="D18" s="57">
        <f t="shared" si="0"/>
        <v>339481491.0899999</v>
      </c>
      <c r="E18" s="57">
        <v>24370763.599999998</v>
      </c>
      <c r="F18" s="58">
        <v>992</v>
      </c>
      <c r="G18" s="57">
        <f>_xlfn.IFERROR((E18/F18/31)," ")</f>
        <v>792.4936134235171</v>
      </c>
      <c r="I18" s="57">
        <v>10966843.61</v>
      </c>
      <c r="J18" s="57">
        <v>2437076.36</v>
      </c>
      <c r="K18" s="57">
        <v>10966843.61</v>
      </c>
    </row>
    <row r="19" spans="1:11" ht="12.75">
      <c r="A19" s="59">
        <v>45139</v>
      </c>
      <c r="B19" s="57">
        <v>359002544.8399999</v>
      </c>
      <c r="C19" s="57">
        <v>995372.78</v>
      </c>
      <c r="D19" s="57">
        <f t="shared" si="0"/>
        <v>334520058.12999994</v>
      </c>
      <c r="E19" s="57">
        <v>23487113.929999992</v>
      </c>
      <c r="F19" s="58">
        <v>1000</v>
      </c>
      <c r="G19" s="57">
        <f>_xlfn.IFERROR((E19/F19/31)," ")</f>
        <v>757.6488364516126</v>
      </c>
      <c r="I19" s="57">
        <v>10569201.289999997</v>
      </c>
      <c r="J19" s="57">
        <v>2348711.42</v>
      </c>
      <c r="K19" s="57">
        <v>10569201.279999997</v>
      </c>
    </row>
    <row r="20" spans="1:11" ht="12.75">
      <c r="A20" s="59">
        <v>45170</v>
      </c>
      <c r="B20" s="57">
        <v>351782864.27000004</v>
      </c>
      <c r="C20" s="57">
        <v>1066752.48</v>
      </c>
      <c r="D20" s="57">
        <f t="shared" si="0"/>
        <v>327878476.56</v>
      </c>
      <c r="E20" s="57">
        <v>22837635.23</v>
      </c>
      <c r="F20" s="58">
        <v>1000</v>
      </c>
      <c r="G20" s="57">
        <f t="shared" si="1"/>
        <v>761.2545076666667</v>
      </c>
      <c r="I20" s="57">
        <v>10276935.85</v>
      </c>
      <c r="J20" s="57">
        <v>2283763.5300000003</v>
      </c>
      <c r="K20" s="57">
        <v>10276935.85</v>
      </c>
    </row>
    <row r="21" spans="1:11" ht="12.75">
      <c r="A21" s="59">
        <v>45200</v>
      </c>
      <c r="B21" s="57">
        <v>322673199.71</v>
      </c>
      <c r="C21" s="57">
        <v>990633.1099999999</v>
      </c>
      <c r="D21" s="57">
        <f t="shared" si="0"/>
        <v>301767223.72999996</v>
      </c>
      <c r="E21" s="57">
        <v>19915342.87</v>
      </c>
      <c r="F21" s="58">
        <v>1000</v>
      </c>
      <c r="G21" s="57">
        <f>_xlfn.IFERROR((E21/F21/31)," ")</f>
        <v>642.4304151612903</v>
      </c>
      <c r="I21" s="57">
        <v>8961904.290000003</v>
      </c>
      <c r="J21" s="57">
        <v>1991534.2900000003</v>
      </c>
      <c r="K21" s="57">
        <v>8961904.280000003</v>
      </c>
    </row>
    <row r="22" spans="1:11" ht="12.75">
      <c r="A22" s="59">
        <v>45231</v>
      </c>
      <c r="B22" s="57">
        <v>342068483.18</v>
      </c>
      <c r="C22" s="57">
        <v>1046415.34</v>
      </c>
      <c r="D22" s="57">
        <f t="shared" si="0"/>
        <v>318970679.54</v>
      </c>
      <c r="E22" s="57">
        <v>22051388.3</v>
      </c>
      <c r="F22" s="58">
        <v>1000</v>
      </c>
      <c r="G22" s="57">
        <f t="shared" si="1"/>
        <v>735.0462766666667</v>
      </c>
      <c r="I22" s="57">
        <v>9923124.76</v>
      </c>
      <c r="J22" s="57">
        <v>2205138.85</v>
      </c>
      <c r="K22" s="57">
        <v>9923124.76</v>
      </c>
    </row>
    <row r="23" spans="1:11" ht="12.75">
      <c r="A23" s="59">
        <v>45261</v>
      </c>
      <c r="B23" s="57">
        <v>373537701.74</v>
      </c>
      <c r="C23" s="57">
        <v>885565.51</v>
      </c>
      <c r="D23" s="57">
        <f t="shared" si="0"/>
        <v>349018157.35</v>
      </c>
      <c r="E23" s="57">
        <v>23633978.880000003</v>
      </c>
      <c r="F23" s="58">
        <v>1000</v>
      </c>
      <c r="G23" s="57">
        <f>_xlfn.IFERROR((E23/F23/31)," ")</f>
        <v>762.386415483871</v>
      </c>
      <c r="I23" s="57">
        <v>10635290.509999998</v>
      </c>
      <c r="J23" s="57">
        <v>2363397.9099999997</v>
      </c>
      <c r="K23" s="57">
        <v>10635290.509999998</v>
      </c>
    </row>
    <row r="24" spans="1:11" ht="12.75">
      <c r="A24" s="59">
        <v>45292</v>
      </c>
      <c r="B24" s="57">
        <v>364113487.14</v>
      </c>
      <c r="C24" s="57">
        <v>1073550.43</v>
      </c>
      <c r="D24" s="100">
        <f t="shared" si="0"/>
        <v>339654871.99</v>
      </c>
      <c r="E24" s="57">
        <v>23385064.719999995</v>
      </c>
      <c r="F24" s="58">
        <v>1000</v>
      </c>
      <c r="G24" s="57">
        <f>_xlfn.IFERROR((E24/F24/31)," ")</f>
        <v>754.3569264516127</v>
      </c>
      <c r="I24" s="57">
        <v>10523279.139999999</v>
      </c>
      <c r="J24" s="57">
        <v>2338506.5</v>
      </c>
      <c r="K24" s="57">
        <v>10523279.129999999</v>
      </c>
    </row>
    <row r="25" spans="1:11" ht="12.75">
      <c r="A25" s="59">
        <v>45323</v>
      </c>
      <c r="B25" s="57">
        <v>361442343.61999995</v>
      </c>
      <c r="C25" s="57">
        <v>924916.11</v>
      </c>
      <c r="D25" s="57">
        <f t="shared" si="0"/>
        <v>337790002.93999994</v>
      </c>
      <c r="E25" s="57">
        <v>22727424.570000008</v>
      </c>
      <c r="F25" s="58">
        <v>1000</v>
      </c>
      <c r="G25" s="57">
        <f>_xlfn.IFERROR((E25/F25/29)," ")</f>
        <v>783.7042955172416</v>
      </c>
      <c r="I25" s="57">
        <v>10227341.050000003</v>
      </c>
      <c r="J25" s="57">
        <v>2272742.4700000007</v>
      </c>
      <c r="K25" s="57">
        <v>10227341.050000003</v>
      </c>
    </row>
    <row r="26" spans="1:11" ht="12.75">
      <c r="A26" s="59">
        <v>45352</v>
      </c>
      <c r="B26" s="57">
        <v>407500566.13000005</v>
      </c>
      <c r="C26" s="57">
        <v>1410451.9</v>
      </c>
      <c r="D26" s="57">
        <f t="shared" si="0"/>
        <v>380068784.87000006</v>
      </c>
      <c r="E26" s="57">
        <v>26021329.360000003</v>
      </c>
      <c r="F26" s="58">
        <v>1000</v>
      </c>
      <c r="G26" s="57">
        <f>_xlfn.IFERROR((E26/F26/31)," ")</f>
        <v>839.3977212903227</v>
      </c>
      <c r="I26" s="57">
        <v>11709598.229999997</v>
      </c>
      <c r="J26" s="57">
        <v>2602132.9599999995</v>
      </c>
      <c r="K26" s="57">
        <v>11709598.229999997</v>
      </c>
    </row>
    <row r="27" spans="1:11" ht="13.5" thickBot="1">
      <c r="A27" s="87" t="s">
        <v>15</v>
      </c>
      <c r="B27" s="84">
        <f>SUM(B15:B26)</f>
        <v>4296190210.009999</v>
      </c>
      <c r="C27" s="84">
        <f>SUM(C15:C26)</f>
        <v>12565237.759999998</v>
      </c>
      <c r="D27" s="84">
        <f>SUM(D15:D26)</f>
        <v>4006296915.7799993</v>
      </c>
      <c r="E27" s="84">
        <f>SUM(E15:E26)</f>
        <v>277328056.47</v>
      </c>
      <c r="F27" s="54">
        <f>AVERAGE(F15:F26)</f>
        <v>999.25</v>
      </c>
      <c r="G27" s="53">
        <f>AVERAGE(G15:G26)</f>
        <v>758.454098522763</v>
      </c>
      <c r="H27" s="85"/>
      <c r="I27" s="84">
        <f>SUM(I15:I26)</f>
        <v>124797625.5</v>
      </c>
      <c r="J27" s="84">
        <f>SUM(J15:J26)</f>
        <v>27732805.83</v>
      </c>
      <c r="K27" s="84">
        <f>SUM(K15:K26)</f>
        <v>124797625.46000001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0.0029247396287816487</v>
      </c>
      <c r="D29" s="81">
        <f>_xlfn.IFERROR(D27/B27,"")</f>
        <v>0.9325231705163899</v>
      </c>
      <c r="E29" s="81">
        <f>_xlfn.IFERROR(E27/B27,"")</f>
        <v>0.0645520898548285</v>
      </c>
      <c r="I29" s="81">
        <f>_xlfn.IFERROR(I27/$E$27,"")</f>
        <v>0.4500000003191166</v>
      </c>
      <c r="J29" s="81">
        <f>_xlfn.IFERROR(J27/$E$27,"")</f>
        <v>0.1000000006598683</v>
      </c>
      <c r="K29" s="81">
        <f>_xlfn.IFERROR(K27/$E$27,"")</f>
        <v>0.4500000001748831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ignoredErrors>
    <ignoredError sqref="G16:G17 G20:G21 G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44652</v>
      </c>
      <c r="B15" s="57">
        <v>347479439.33000004</v>
      </c>
      <c r="C15" s="57">
        <v>888492.4300000002</v>
      </c>
      <c r="D15" s="57">
        <f aca="true" t="shared" si="0" ref="D15:D26">IF(ISBLANK(B15),"",B15-C15-E15)</f>
        <v>324920580.32000005</v>
      </c>
      <c r="E15" s="57">
        <v>21670366.58</v>
      </c>
      <c r="F15" s="58">
        <v>1000</v>
      </c>
      <c r="G15" s="57">
        <f>_xlfn.IFERROR((E15/F15/30)," ")</f>
        <v>722.3455526666665</v>
      </c>
      <c r="I15" s="57">
        <v>9751664.970000003</v>
      </c>
      <c r="J15" s="57">
        <v>2167036.67</v>
      </c>
      <c r="K15" s="57">
        <v>9751664.970000003</v>
      </c>
    </row>
    <row r="16" spans="1:11" ht="12.75">
      <c r="A16" s="59">
        <v>44682</v>
      </c>
      <c r="B16" s="57">
        <v>341814186.29</v>
      </c>
      <c r="C16" s="57">
        <v>1080862.9900000002</v>
      </c>
      <c r="D16" s="57">
        <f t="shared" si="0"/>
        <v>318987204.17</v>
      </c>
      <c r="E16" s="57">
        <v>21746119.12999999</v>
      </c>
      <c r="F16" s="58">
        <v>1000</v>
      </c>
      <c r="G16" s="57">
        <f>_xlfn.IFERROR((E16/F16/31)," ")</f>
        <v>701.4877138709675</v>
      </c>
      <c r="I16" s="57">
        <v>9785753.610000001</v>
      </c>
      <c r="J16" s="57">
        <v>2174611.94</v>
      </c>
      <c r="K16" s="57">
        <v>9785753.610000001</v>
      </c>
    </row>
    <row r="17" spans="1:11" ht="12.75">
      <c r="A17" s="59">
        <v>44713</v>
      </c>
      <c r="B17" s="57">
        <v>327328506.16</v>
      </c>
      <c r="C17" s="57">
        <v>882167.1200000001</v>
      </c>
      <c r="D17" s="57">
        <f t="shared" si="0"/>
        <v>305562962.97</v>
      </c>
      <c r="E17" s="57">
        <v>20883376.07</v>
      </c>
      <c r="F17" s="58">
        <v>1000</v>
      </c>
      <c r="G17" s="57">
        <f aca="true" t="shared" si="1" ref="G17:G22">_xlfn.IFERROR((E17/F17/30)," ")</f>
        <v>696.1125356666668</v>
      </c>
      <c r="I17" s="57">
        <v>9397519.250000002</v>
      </c>
      <c r="J17" s="57">
        <v>2088337.6099999999</v>
      </c>
      <c r="K17" s="57">
        <v>9397519.250000002</v>
      </c>
    </row>
    <row r="18" spans="1:11" ht="12.75">
      <c r="A18" s="59">
        <v>44743</v>
      </c>
      <c r="B18" s="57">
        <v>350566286.21</v>
      </c>
      <c r="C18" s="57">
        <v>922697.2699999999</v>
      </c>
      <c r="D18" s="57">
        <f t="shared" si="0"/>
        <v>327728882.11</v>
      </c>
      <c r="E18" s="57">
        <v>21914706.829999994</v>
      </c>
      <c r="F18" s="58">
        <v>1000</v>
      </c>
      <c r="G18" s="57">
        <f>_xlfn.IFERROR((E18/F18/31)," ")</f>
        <v>706.9260267741934</v>
      </c>
      <c r="I18" s="57">
        <v>9861618.080000002</v>
      </c>
      <c r="J18" s="57">
        <v>2191470.71</v>
      </c>
      <c r="K18" s="57">
        <v>9861618.080000002</v>
      </c>
    </row>
    <row r="19" spans="1:11" ht="12.75">
      <c r="A19" s="59">
        <v>44774</v>
      </c>
      <c r="B19" s="57">
        <v>355398082.28999996</v>
      </c>
      <c r="C19" s="57">
        <v>1198728.88</v>
      </c>
      <c r="D19" s="57">
        <f t="shared" si="0"/>
        <v>331870916.93999994</v>
      </c>
      <c r="E19" s="57">
        <v>22328436.470000006</v>
      </c>
      <c r="F19" s="58">
        <v>1000</v>
      </c>
      <c r="G19" s="57">
        <f>_xlfn.IFERROR((E19/F19/31)," ")</f>
        <v>720.2721441935487</v>
      </c>
      <c r="I19" s="57">
        <v>10047796.42</v>
      </c>
      <c r="J19" s="57">
        <v>2232843.6999999997</v>
      </c>
      <c r="K19" s="57">
        <v>10047796.42</v>
      </c>
    </row>
    <row r="20" spans="1:11" ht="12.75">
      <c r="A20" s="59">
        <v>44805</v>
      </c>
      <c r="B20" s="57">
        <v>338409783.30999994</v>
      </c>
      <c r="C20" s="57">
        <v>1151027.6500000001</v>
      </c>
      <c r="D20" s="57">
        <f t="shared" si="0"/>
        <v>316647006.44</v>
      </c>
      <c r="E20" s="57">
        <v>20611749.219999995</v>
      </c>
      <c r="F20" s="58">
        <v>1000</v>
      </c>
      <c r="G20" s="57">
        <f t="shared" si="1"/>
        <v>687.0583073333331</v>
      </c>
      <c r="I20" s="57">
        <v>9275287.15</v>
      </c>
      <c r="J20" s="57">
        <v>2061174.95</v>
      </c>
      <c r="K20" s="57">
        <v>9275287.15</v>
      </c>
    </row>
    <row r="21" spans="1:11" ht="12.75">
      <c r="A21" s="59">
        <v>44835</v>
      </c>
      <c r="B21" s="57">
        <v>344029458.75000006</v>
      </c>
      <c r="C21" s="57">
        <v>1099942.7999999998</v>
      </c>
      <c r="D21" s="57">
        <f t="shared" si="0"/>
        <v>321727782.85</v>
      </c>
      <c r="E21" s="57">
        <v>21201733.099999994</v>
      </c>
      <c r="F21" s="58">
        <v>998</v>
      </c>
      <c r="G21" s="57">
        <f>_xlfn.IFERROR((E21/F21/31)," ")</f>
        <v>685.2974691318118</v>
      </c>
      <c r="I21" s="57">
        <v>9540779.909999998</v>
      </c>
      <c r="J21" s="57">
        <v>2120173.3299999996</v>
      </c>
      <c r="K21" s="57">
        <v>9540779.909999998</v>
      </c>
    </row>
    <row r="22" spans="1:11" ht="12.75">
      <c r="A22" s="59">
        <v>44866</v>
      </c>
      <c r="B22" s="57">
        <v>324425392.74</v>
      </c>
      <c r="C22" s="57">
        <v>915645.45</v>
      </c>
      <c r="D22" s="57">
        <f t="shared" si="0"/>
        <v>303423157.41</v>
      </c>
      <c r="E22" s="57">
        <v>20086589.880000003</v>
      </c>
      <c r="F22" s="58">
        <v>998</v>
      </c>
      <c r="G22" s="57">
        <f t="shared" si="1"/>
        <v>670.8947855711424</v>
      </c>
      <c r="I22" s="57">
        <v>9038965.48</v>
      </c>
      <c r="J22" s="57">
        <v>2008659.0300000003</v>
      </c>
      <c r="K22" s="57">
        <v>9038965.48</v>
      </c>
    </row>
    <row r="23" spans="1:11" ht="12.75">
      <c r="A23" s="59">
        <v>44896</v>
      </c>
      <c r="B23" s="57">
        <v>361913617.25</v>
      </c>
      <c r="C23" s="57">
        <v>1616839.7</v>
      </c>
      <c r="D23" s="57">
        <f t="shared" si="0"/>
        <v>338933950.90000004</v>
      </c>
      <c r="E23" s="57">
        <v>21362826.65</v>
      </c>
      <c r="F23" s="58">
        <v>996</v>
      </c>
      <c r="G23" s="57">
        <f>_xlfn.IFERROR((E23/F23/31)," ")</f>
        <v>691.8910043399404</v>
      </c>
      <c r="I23" s="57">
        <v>9613272.010000004</v>
      </c>
      <c r="J23" s="57">
        <v>2136282.6599999997</v>
      </c>
      <c r="K23" s="57">
        <v>9613272.000000004</v>
      </c>
    </row>
    <row r="24" spans="1:11" ht="12.75">
      <c r="A24" s="59">
        <v>44927</v>
      </c>
      <c r="B24" s="57">
        <v>366902338.6500001</v>
      </c>
      <c r="C24" s="57">
        <v>1023251.8099999999</v>
      </c>
      <c r="D24" s="100">
        <f t="shared" si="0"/>
        <v>342807175.3300001</v>
      </c>
      <c r="E24" s="57">
        <v>23071911.51</v>
      </c>
      <c r="F24" s="58">
        <v>998</v>
      </c>
      <c r="G24" s="57">
        <f>_xlfn.IFERROR((E24/F24/31)," ")</f>
        <v>745.7467034068137</v>
      </c>
      <c r="I24" s="57">
        <v>10382360.200000001</v>
      </c>
      <c r="J24" s="57">
        <v>2307191.1800000006</v>
      </c>
      <c r="K24" s="57">
        <v>10382360.200000001</v>
      </c>
    </row>
    <row r="25" spans="1:11" ht="12.75">
      <c r="A25" s="59">
        <v>44958</v>
      </c>
      <c r="B25" s="57">
        <v>342372821.9</v>
      </c>
      <c r="C25" s="57">
        <v>1097669.33</v>
      </c>
      <c r="D25" s="57">
        <f t="shared" si="0"/>
        <v>319991071.76</v>
      </c>
      <c r="E25" s="57">
        <v>21284080.81</v>
      </c>
      <c r="F25" s="58">
        <v>1000</v>
      </c>
      <c r="G25" s="57">
        <f>_xlfn.IFERROR((E25/F25/28)," ")</f>
        <v>760.1457432142857</v>
      </c>
      <c r="I25" s="57">
        <v>9577836.39</v>
      </c>
      <c r="J25" s="57">
        <v>2128408.0900000003</v>
      </c>
      <c r="K25" s="57">
        <v>9577836.39</v>
      </c>
    </row>
    <row r="26" spans="1:11" ht="12.75">
      <c r="A26" s="59">
        <v>44986</v>
      </c>
      <c r="B26" s="57">
        <v>366722484.8400001</v>
      </c>
      <c r="C26" s="57">
        <v>1037717.3</v>
      </c>
      <c r="D26" s="57">
        <f t="shared" si="0"/>
        <v>341860939.07000005</v>
      </c>
      <c r="E26" s="57">
        <v>23823828.470000006</v>
      </c>
      <c r="F26" s="58">
        <v>1000</v>
      </c>
      <c r="G26" s="57">
        <f>_xlfn.IFERROR((E26/F26/31)," ")</f>
        <v>768.5105958064519</v>
      </c>
      <c r="I26" s="57">
        <v>10720722.829999996</v>
      </c>
      <c r="J26" s="57">
        <v>2382382.86</v>
      </c>
      <c r="K26" s="57">
        <v>10720722.829999996</v>
      </c>
    </row>
    <row r="27" spans="1:11" ht="13.5" thickBot="1">
      <c r="A27" s="87" t="s">
        <v>15</v>
      </c>
      <c r="B27" s="84">
        <f>SUM(B15:B26)</f>
        <v>4167362397.7200003</v>
      </c>
      <c r="C27" s="84">
        <f>SUM(C15:C26)</f>
        <v>12915042.730000002</v>
      </c>
      <c r="D27" s="84">
        <f>SUM(D15:D26)</f>
        <v>3894461630.27</v>
      </c>
      <c r="E27" s="84">
        <f>SUM(E15:E26)</f>
        <v>259985724.71999997</v>
      </c>
      <c r="F27" s="54">
        <f>AVERAGE(F15:F26)</f>
        <v>999.1666666666666</v>
      </c>
      <c r="G27" s="53">
        <f>AVERAGE(G15:G26)</f>
        <v>713.0573818313184</v>
      </c>
      <c r="H27" s="85"/>
      <c r="I27" s="84">
        <f>SUM(I15:I26)</f>
        <v>116993576.30000003</v>
      </c>
      <c r="J27" s="84">
        <f>SUM(J15:J26)</f>
        <v>25998572.729999997</v>
      </c>
      <c r="K27" s="84">
        <f>SUM(K15:K26)</f>
        <v>116993576.29000002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0.0030990927827793265</v>
      </c>
      <c r="D29" s="81">
        <f>_xlfn.IFERROR(D27/B27,"")</f>
        <v>0.9345147502412301</v>
      </c>
      <c r="E29" s="81">
        <f>_xlfn.IFERROR(E27/B27,"")</f>
        <v>0.062386156975990474</v>
      </c>
      <c r="I29" s="81">
        <f>_xlfn.IFERROR(I27/$E$27,"")</f>
        <v>0.4500000006769604</v>
      </c>
      <c r="J29" s="81">
        <f>_xlfn.IFERROR(J27/$E$27,"")</f>
        <v>0.10000000099236218</v>
      </c>
      <c r="K29" s="81">
        <f>_xlfn.IFERROR(K27/$E$27,"")</f>
        <v>0.4500000006384967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ignoredErrors>
    <ignoredError sqref="G16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44287</v>
      </c>
      <c r="B15" s="57">
        <v>328749459.96</v>
      </c>
      <c r="C15" s="57">
        <v>691114.69</v>
      </c>
      <c r="D15" s="57">
        <f aca="true" t="shared" si="0" ref="D15:D26">IF(ISBLANK(B15),"",B15-C15-E15)</f>
        <v>307765985.57</v>
      </c>
      <c r="E15" s="57">
        <v>20292359.7</v>
      </c>
      <c r="F15" s="58">
        <v>759.63</v>
      </c>
      <c r="G15" s="57">
        <f>_xlfn.IFERROR((E15/F15/30)," ")</f>
        <v>890.4492845200953</v>
      </c>
      <c r="I15" s="57">
        <v>9131561.89</v>
      </c>
      <c r="J15" s="57">
        <v>2029235.98</v>
      </c>
      <c r="K15" s="57">
        <v>9131561.88</v>
      </c>
    </row>
    <row r="16" spans="1:11" ht="12.75">
      <c r="A16" s="59">
        <v>44317</v>
      </c>
      <c r="B16" s="57">
        <v>345645245.6099999</v>
      </c>
      <c r="C16" s="57">
        <v>731102.23</v>
      </c>
      <c r="D16" s="57">
        <f t="shared" si="0"/>
        <v>324511146.3199999</v>
      </c>
      <c r="E16" s="57">
        <v>20402997.060000002</v>
      </c>
      <c r="F16" s="58">
        <v>804</v>
      </c>
      <c r="G16" s="57">
        <f>_xlfn.IFERROR((E16/F16/31)," ")</f>
        <v>818.608452094367</v>
      </c>
      <c r="I16" s="57">
        <v>9181348.67</v>
      </c>
      <c r="J16" s="57">
        <v>2040299.7200000002</v>
      </c>
      <c r="K16" s="57">
        <v>9181348.67</v>
      </c>
    </row>
    <row r="17" spans="1:11" ht="12.75">
      <c r="A17" s="59">
        <v>44348</v>
      </c>
      <c r="B17" s="57">
        <v>337676424.39000005</v>
      </c>
      <c r="C17" s="57">
        <v>758644.2699999999</v>
      </c>
      <c r="D17" s="57">
        <f t="shared" si="0"/>
        <v>316944307.52000004</v>
      </c>
      <c r="E17" s="57">
        <v>19973472.6</v>
      </c>
      <c r="F17" s="58">
        <v>902</v>
      </c>
      <c r="G17" s="57">
        <f>_xlfn.IFERROR((E17/F17/30)," ")</f>
        <v>738.1179822616409</v>
      </c>
      <c r="I17" s="57">
        <v>8988062.69</v>
      </c>
      <c r="J17" s="57">
        <v>1997347.27</v>
      </c>
      <c r="K17" s="57">
        <v>8988062.68</v>
      </c>
    </row>
    <row r="18" spans="1:11" ht="12.75">
      <c r="A18" s="59">
        <v>44378</v>
      </c>
      <c r="B18" s="57">
        <v>375576023.77000004</v>
      </c>
      <c r="C18" s="57">
        <v>643230.4800000001</v>
      </c>
      <c r="D18" s="57">
        <f t="shared" si="0"/>
        <v>352010625.36</v>
      </c>
      <c r="E18" s="57">
        <v>22922167.93</v>
      </c>
      <c r="F18" s="58">
        <v>1000</v>
      </c>
      <c r="G18" s="57">
        <f>_xlfn.IFERROR((E18/F18/31)," ")</f>
        <v>739.4247719354838</v>
      </c>
      <c r="I18" s="57">
        <v>10314975.57</v>
      </c>
      <c r="J18" s="57">
        <v>2292216.81</v>
      </c>
      <c r="K18" s="57">
        <v>10314975.57</v>
      </c>
    </row>
    <row r="19" spans="1:11" ht="12.75">
      <c r="A19" s="59">
        <v>44409</v>
      </c>
      <c r="B19" s="57">
        <v>360511971.11</v>
      </c>
      <c r="C19" s="57">
        <v>736826.39</v>
      </c>
      <c r="D19" s="57">
        <f t="shared" si="0"/>
        <v>337966565.38000005</v>
      </c>
      <c r="E19" s="57">
        <v>21808579.339999992</v>
      </c>
      <c r="F19" s="58">
        <v>1000</v>
      </c>
      <c r="G19" s="57">
        <f>_xlfn.IFERROR((E19/F19/31)," ")</f>
        <v>703.5025593548385</v>
      </c>
      <c r="I19" s="57">
        <v>9813860.703</v>
      </c>
      <c r="J19" s="57">
        <v>2180857.9340000004</v>
      </c>
      <c r="K19" s="57">
        <v>9813860.73</v>
      </c>
    </row>
    <row r="20" spans="1:11" ht="12.75">
      <c r="A20" s="59">
        <v>44440</v>
      </c>
      <c r="B20" s="57">
        <v>347093402.0000001</v>
      </c>
      <c r="C20" s="57">
        <v>707362.26</v>
      </c>
      <c r="D20" s="57">
        <f t="shared" si="0"/>
        <v>325131597.8300001</v>
      </c>
      <c r="E20" s="57">
        <v>21254441.91</v>
      </c>
      <c r="F20" s="58">
        <v>1000</v>
      </c>
      <c r="G20" s="57">
        <f>_xlfn.IFERROR((E20/F20/30)," ")</f>
        <v>708.481397</v>
      </c>
      <c r="I20" s="57">
        <v>9564498.8595</v>
      </c>
      <c r="J20" s="57">
        <v>2125444.1909999996</v>
      </c>
      <c r="K20" s="57">
        <v>9564498.87</v>
      </c>
    </row>
    <row r="21" spans="1:11" ht="12.75">
      <c r="A21" s="59">
        <v>44470</v>
      </c>
      <c r="B21" s="57">
        <v>355836328.59999996</v>
      </c>
      <c r="C21" s="57">
        <v>795984.9999999999</v>
      </c>
      <c r="D21" s="57">
        <f t="shared" si="0"/>
        <v>333923077.93999994</v>
      </c>
      <c r="E21" s="57">
        <v>21117265.659999996</v>
      </c>
      <c r="F21" s="58">
        <v>1000</v>
      </c>
      <c r="G21" s="57">
        <f>_xlfn.IFERROR((E21/F21/31)," ")</f>
        <v>681.2021180645161</v>
      </c>
      <c r="I21" s="57">
        <v>9502769.54</v>
      </c>
      <c r="J21" s="57">
        <v>2111726.56</v>
      </c>
      <c r="K21" s="57">
        <v>9502769.54</v>
      </c>
    </row>
    <row r="22" spans="1:11" ht="12.75">
      <c r="A22" s="59">
        <v>44501</v>
      </c>
      <c r="B22" s="57">
        <v>328876348</v>
      </c>
      <c r="C22" s="57">
        <v>801268.3500000001</v>
      </c>
      <c r="D22" s="57">
        <f t="shared" si="0"/>
        <v>307647441.83</v>
      </c>
      <c r="E22" s="57">
        <v>20427637.82</v>
      </c>
      <c r="F22" s="58">
        <v>1000</v>
      </c>
      <c r="G22" s="57">
        <f>_xlfn.IFERROR((E22/F22/30)," ")</f>
        <v>680.9212606666666</v>
      </c>
      <c r="I22" s="57">
        <v>9192437.029999997</v>
      </c>
      <c r="J22" s="57">
        <v>2042763.7399999998</v>
      </c>
      <c r="K22" s="57">
        <v>9192437.019999998</v>
      </c>
    </row>
    <row r="23" spans="1:11" ht="12.75">
      <c r="A23" s="59">
        <v>44531</v>
      </c>
      <c r="B23" s="57">
        <v>334150186.9700001</v>
      </c>
      <c r="C23" s="57">
        <v>882333.8599999999</v>
      </c>
      <c r="D23" s="57">
        <f t="shared" si="0"/>
        <v>313533868.2900001</v>
      </c>
      <c r="E23" s="57">
        <v>19733984.819999993</v>
      </c>
      <c r="F23" s="58">
        <v>1000</v>
      </c>
      <c r="G23" s="57">
        <f>_xlfn.IFERROR((E23/F23/31)," ")</f>
        <v>636.5801554838707</v>
      </c>
      <c r="I23" s="57">
        <v>8880293.14</v>
      </c>
      <c r="J23" s="57">
        <v>1973398.4899999995</v>
      </c>
      <c r="K23" s="57">
        <v>8880293.129999999</v>
      </c>
    </row>
    <row r="24" spans="1:11" ht="12.75">
      <c r="A24" s="59">
        <v>44562</v>
      </c>
      <c r="B24" s="57">
        <v>300577441.72999996</v>
      </c>
      <c r="C24" s="57">
        <v>795028.36</v>
      </c>
      <c r="D24" s="100">
        <f t="shared" si="0"/>
        <v>280729425.6399999</v>
      </c>
      <c r="E24" s="57">
        <v>19052987.73</v>
      </c>
      <c r="F24" s="58">
        <v>1000</v>
      </c>
      <c r="G24" s="57">
        <f>_xlfn.IFERROR((E24/F24/31)," ")</f>
        <v>614.6125074193549</v>
      </c>
      <c r="I24" s="57">
        <v>8573844.469999999</v>
      </c>
      <c r="J24" s="57">
        <v>1905298.7800000005</v>
      </c>
      <c r="K24" s="57">
        <v>8573844.469999999</v>
      </c>
    </row>
    <row r="25" spans="1:11" ht="12.75">
      <c r="A25" s="59">
        <v>44593</v>
      </c>
      <c r="B25" s="57">
        <v>333833902.13</v>
      </c>
      <c r="C25" s="57">
        <v>1017063.09</v>
      </c>
      <c r="D25" s="57">
        <f t="shared" si="0"/>
        <v>312956563.46000004</v>
      </c>
      <c r="E25" s="57">
        <v>19860275.58</v>
      </c>
      <c r="F25" s="58">
        <v>1000</v>
      </c>
      <c r="G25" s="57">
        <f>_xlfn.IFERROR((E25/F25/28)," ")</f>
        <v>709.2955564285713</v>
      </c>
      <c r="I25" s="57">
        <v>8937124.040000001</v>
      </c>
      <c r="J25" s="57">
        <v>1986027.58</v>
      </c>
      <c r="K25" s="57">
        <v>8937124.040000001</v>
      </c>
    </row>
    <row r="26" spans="1:11" ht="12.75">
      <c r="A26" s="59">
        <v>44621</v>
      </c>
      <c r="B26" s="57">
        <v>364278076.33</v>
      </c>
      <c r="C26" s="57">
        <v>1200518.5599999998</v>
      </c>
      <c r="D26" s="57">
        <f t="shared" si="0"/>
        <v>341188378.95</v>
      </c>
      <c r="E26" s="57">
        <v>21889178.819999997</v>
      </c>
      <c r="F26" s="58">
        <v>1000</v>
      </c>
      <c r="G26" s="57">
        <f>_xlfn.IFERROR((E26/F26/31)," ")</f>
        <v>706.102542580645</v>
      </c>
      <c r="I26" s="57">
        <v>9850130.48</v>
      </c>
      <c r="J26" s="57">
        <v>2188917.9</v>
      </c>
      <c r="K26" s="57">
        <v>9850130.48</v>
      </c>
    </row>
    <row r="27" spans="1:11" ht="13.5" thickBot="1">
      <c r="A27" s="87" t="s">
        <v>15</v>
      </c>
      <c r="B27" s="84">
        <f>SUM(B15:B26)</f>
        <v>4112804810.6000004</v>
      </c>
      <c r="C27" s="84">
        <f>SUM(C15:C26)</f>
        <v>9760477.540000001</v>
      </c>
      <c r="D27" s="84">
        <f>SUM(D15:D26)</f>
        <v>3854308984.0899997</v>
      </c>
      <c r="E27" s="84">
        <f>SUM(E15:E26)</f>
        <v>248735348.96999997</v>
      </c>
      <c r="F27" s="54">
        <f>AVERAGE(F15:F26)</f>
        <v>955.4691666666668</v>
      </c>
      <c r="G27" s="53">
        <f>AVERAGE(G15:G26)</f>
        <v>718.9415489841709</v>
      </c>
      <c r="H27" s="85"/>
      <c r="I27" s="84">
        <f>SUM(I15:I26)</f>
        <v>111930907.08250001</v>
      </c>
      <c r="J27" s="84">
        <f>SUM(J15:J26)</f>
        <v>24873534.955</v>
      </c>
      <c r="K27" s="84">
        <f>SUM(K15:K26)</f>
        <v>111930907.08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0.002373192502314761</v>
      </c>
      <c r="D29" s="81">
        <f>_xlfn.IFERROR(D27/B27,"")</f>
        <v>0.9371485304034427</v>
      </c>
      <c r="E29" s="81">
        <f>_xlfn.IFERROR(E27/B27,"")</f>
        <v>0.0604782770942424</v>
      </c>
      <c r="I29" s="81">
        <f>_xlfn.IFERROR(I27/$E$27,"")</f>
        <v>0.45000000018493563</v>
      </c>
      <c r="J29" s="81">
        <f>_xlfn.IFERROR(J27/$E$27,"")</f>
        <v>0.10000000023317956</v>
      </c>
      <c r="K29" s="81">
        <f>_xlfn.IFERROR(K27/$E$27,"")</f>
        <v>0.45000000017488473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43922</v>
      </c>
      <c r="B15" s="57">
        <v>0</v>
      </c>
      <c r="C15" s="57">
        <v>0</v>
      </c>
      <c r="D15" s="57">
        <f aca="true" t="shared" si="0" ref="D15:D26">IF(ISBLANK(B15),"",B15-C15-E15)</f>
        <v>0</v>
      </c>
      <c r="E15" s="57">
        <v>0</v>
      </c>
      <c r="F15" s="58">
        <v>0</v>
      </c>
      <c r="G15" s="57">
        <v>0</v>
      </c>
      <c r="I15" s="57">
        <v>0</v>
      </c>
      <c r="J15" s="57">
        <v>0</v>
      </c>
      <c r="K15" s="57">
        <v>0</v>
      </c>
    </row>
    <row r="16" spans="1:11" ht="12.75">
      <c r="A16" s="59">
        <v>43952</v>
      </c>
      <c r="B16" s="57">
        <v>0</v>
      </c>
      <c r="C16" s="57">
        <v>0</v>
      </c>
      <c r="D16" s="57">
        <v>0</v>
      </c>
      <c r="E16" s="57">
        <v>0</v>
      </c>
      <c r="F16" s="58">
        <v>0</v>
      </c>
      <c r="G16" s="57">
        <v>0</v>
      </c>
      <c r="I16" s="57">
        <v>0</v>
      </c>
      <c r="J16" s="57">
        <v>0</v>
      </c>
      <c r="K16" s="57">
        <v>0</v>
      </c>
    </row>
    <row r="17" spans="1:11" ht="12.75">
      <c r="A17" s="59">
        <v>43983</v>
      </c>
      <c r="B17" s="57">
        <v>0</v>
      </c>
      <c r="C17" s="57">
        <v>0</v>
      </c>
      <c r="D17" s="57">
        <v>0</v>
      </c>
      <c r="E17" s="57">
        <v>0</v>
      </c>
      <c r="F17" s="58">
        <v>0</v>
      </c>
      <c r="G17" s="57">
        <v>0</v>
      </c>
      <c r="I17" s="57">
        <v>0</v>
      </c>
      <c r="J17" s="57">
        <v>0</v>
      </c>
      <c r="K17" s="57">
        <v>0</v>
      </c>
    </row>
    <row r="18" spans="1:11" ht="12.75">
      <c r="A18" s="59">
        <v>44013</v>
      </c>
      <c r="B18" s="57">
        <v>0</v>
      </c>
      <c r="C18" s="57">
        <v>0</v>
      </c>
      <c r="D18" s="57">
        <v>0</v>
      </c>
      <c r="E18" s="57">
        <v>0</v>
      </c>
      <c r="F18" s="58">
        <v>0</v>
      </c>
      <c r="G18" s="57">
        <v>0</v>
      </c>
      <c r="I18" s="57">
        <v>0</v>
      </c>
      <c r="J18" s="57">
        <v>0</v>
      </c>
      <c r="K18" s="57">
        <v>0</v>
      </c>
    </row>
    <row r="19" spans="1:11" ht="12.75">
      <c r="A19" s="59">
        <v>44044</v>
      </c>
      <c r="B19" s="57">
        <v>0</v>
      </c>
      <c r="C19" s="57">
        <v>0</v>
      </c>
      <c r="D19" s="57">
        <v>0</v>
      </c>
      <c r="E19" s="57">
        <v>0</v>
      </c>
      <c r="F19" s="58">
        <v>0</v>
      </c>
      <c r="G19" s="57">
        <v>0</v>
      </c>
      <c r="I19" s="57">
        <v>0</v>
      </c>
      <c r="J19" s="57">
        <v>0</v>
      </c>
      <c r="K19" s="57">
        <v>0</v>
      </c>
    </row>
    <row r="20" spans="1:11" ht="12.75">
      <c r="A20" s="59">
        <v>44075</v>
      </c>
      <c r="B20" s="57">
        <v>214580575.41</v>
      </c>
      <c r="C20" s="57">
        <v>0</v>
      </c>
      <c r="D20" s="57">
        <f t="shared" si="0"/>
        <v>202255909.12</v>
      </c>
      <c r="E20" s="57">
        <v>12324666.290000001</v>
      </c>
      <c r="F20" s="58">
        <v>417</v>
      </c>
      <c r="G20" s="57">
        <f>_xlfn.IFERROR((E20/F20/22)," ")</f>
        <v>1343.434302376281</v>
      </c>
      <c r="I20" s="57">
        <v>5546099.84</v>
      </c>
      <c r="J20" s="57">
        <v>1232466.6600000001</v>
      </c>
      <c r="K20" s="57">
        <v>5546099.84</v>
      </c>
    </row>
    <row r="21" spans="1:11" ht="12.75">
      <c r="A21" s="59">
        <v>44105</v>
      </c>
      <c r="B21" s="57">
        <v>283607878.47</v>
      </c>
      <c r="C21" s="57">
        <v>110685.5</v>
      </c>
      <c r="D21" s="57">
        <f t="shared" si="0"/>
        <v>266883742.88000003</v>
      </c>
      <c r="E21" s="57">
        <v>16613450.09</v>
      </c>
      <c r="F21" s="58">
        <v>436.74</v>
      </c>
      <c r="G21" s="57">
        <f>_xlfn.IFERROR((E21/F21/31)," ")</f>
        <v>1227.0864698418043</v>
      </c>
      <c r="I21" s="57">
        <v>7476052.56</v>
      </c>
      <c r="J21" s="57">
        <v>1661345.04</v>
      </c>
      <c r="K21" s="57">
        <v>7476052.54</v>
      </c>
    </row>
    <row r="22" spans="1:11" ht="12.75">
      <c r="A22" s="59">
        <v>44136</v>
      </c>
      <c r="B22" s="57">
        <v>238407092.70000002</v>
      </c>
      <c r="C22" s="57">
        <v>128789.5</v>
      </c>
      <c r="D22" s="57">
        <f t="shared" si="0"/>
        <v>224289893.41000003</v>
      </c>
      <c r="E22" s="57">
        <v>13988409.790000001</v>
      </c>
      <c r="F22" s="58">
        <v>455</v>
      </c>
      <c r="G22" s="57">
        <f>_xlfn.IFERROR((E22/F22/30)," ")</f>
        <v>1024.791926007326</v>
      </c>
      <c r="I22" s="57">
        <v>6294784.409999999</v>
      </c>
      <c r="J22" s="57">
        <v>1398840.97</v>
      </c>
      <c r="K22" s="57">
        <v>6294784.409999999</v>
      </c>
    </row>
    <row r="23" spans="1:11" ht="12.75">
      <c r="A23" s="59">
        <v>44166</v>
      </c>
      <c r="B23" s="57">
        <v>226529519.13000005</v>
      </c>
      <c r="C23" s="57">
        <v>236316.16000000003</v>
      </c>
      <c r="D23" s="57">
        <f t="shared" si="0"/>
        <v>212425022.27000004</v>
      </c>
      <c r="E23" s="57">
        <v>13868180.700000003</v>
      </c>
      <c r="F23" s="58">
        <v>542.81</v>
      </c>
      <c r="G23" s="57">
        <f>_xlfn.IFERROR((E23/F23/31)," ")</f>
        <v>824.1570121072485</v>
      </c>
      <c r="I23" s="57">
        <v>6240681.349999999</v>
      </c>
      <c r="J23" s="57">
        <v>1386818.1</v>
      </c>
      <c r="K23" s="57">
        <v>6240681.35</v>
      </c>
    </row>
    <row r="24" spans="1:11" ht="12.75">
      <c r="A24" s="59">
        <v>44197</v>
      </c>
      <c r="B24" s="57">
        <v>253207333.32000002</v>
      </c>
      <c r="C24" s="57">
        <v>526034.38</v>
      </c>
      <c r="D24" s="100">
        <f t="shared" si="0"/>
        <v>237387109.22000003</v>
      </c>
      <c r="E24" s="57">
        <v>15294189.719999999</v>
      </c>
      <c r="F24" s="58">
        <v>553</v>
      </c>
      <c r="G24" s="57">
        <f>_xlfn.IFERROR((E24/F24/31)," ")</f>
        <v>892.1536323863968</v>
      </c>
      <c r="I24" s="57">
        <v>6882385.380000001</v>
      </c>
      <c r="J24" s="57">
        <v>1529418.9900000002</v>
      </c>
      <c r="K24" s="57">
        <v>6882385.380000001</v>
      </c>
    </row>
    <row r="25" spans="1:11" ht="12.75">
      <c r="A25" s="59">
        <v>44228</v>
      </c>
      <c r="B25" s="57">
        <v>229885963.98999998</v>
      </c>
      <c r="C25" s="57">
        <v>490078.6499999999</v>
      </c>
      <c r="D25" s="57">
        <f t="shared" si="0"/>
        <v>215572019.87999997</v>
      </c>
      <c r="E25" s="57">
        <v>13823865.46</v>
      </c>
      <c r="F25" s="58">
        <f>15512/28</f>
        <v>554</v>
      </c>
      <c r="G25" s="57">
        <f>_xlfn.IFERROR((E25/F25/28)," ")</f>
        <v>891.1723478597215</v>
      </c>
      <c r="I25" s="57">
        <v>6220739.480000001</v>
      </c>
      <c r="J25" s="57">
        <v>1382386.5400000003</v>
      </c>
      <c r="K25" s="57">
        <v>6220739.480000001</v>
      </c>
    </row>
    <row r="26" spans="1:11" ht="12.75">
      <c r="A26" s="59">
        <v>44256</v>
      </c>
      <c r="B26" s="57">
        <v>301272072.15</v>
      </c>
      <c r="C26" s="57">
        <v>631702.5499999999</v>
      </c>
      <c r="D26" s="57">
        <f t="shared" si="0"/>
        <v>282279770.09</v>
      </c>
      <c r="E26" s="57">
        <v>18360599.509999998</v>
      </c>
      <c r="F26" s="58">
        <v>569.1935483870968</v>
      </c>
      <c r="G26" s="57">
        <f>_xlfn.IFERROR((E26/F26/31)," ")</f>
        <v>1040.555370359875</v>
      </c>
      <c r="I26" s="57">
        <v>8262269.81</v>
      </c>
      <c r="J26" s="57">
        <v>1836059.93</v>
      </c>
      <c r="K26" s="57">
        <v>8262269.8</v>
      </c>
    </row>
    <row r="27" spans="1:11" ht="13.5" thickBot="1">
      <c r="A27" s="87" t="s">
        <v>15</v>
      </c>
      <c r="B27" s="84">
        <f>SUM(B15:B26)</f>
        <v>1747490435.17</v>
      </c>
      <c r="C27" s="84">
        <f>SUM(C15:C26)</f>
        <v>2123606.7399999998</v>
      </c>
      <c r="D27" s="84">
        <f>SUM(D15:D26)</f>
        <v>1641093466.87</v>
      </c>
      <c r="E27" s="84">
        <f>SUM(E15:E26)</f>
        <v>104273361.56</v>
      </c>
      <c r="F27" s="86">
        <f>SUM(F20:F26)/COUNT(F20:F26)</f>
        <v>503.96336405529956</v>
      </c>
      <c r="G27" s="84">
        <f>_xlfn.IFERROR(E27/F27/180," ")</f>
        <v>1149.481280642347</v>
      </c>
      <c r="H27" s="85"/>
      <c r="I27" s="84">
        <f>SUM(I15:I26)</f>
        <v>46923012.830000006</v>
      </c>
      <c r="J27" s="84">
        <f>SUM(J15:J26)</f>
        <v>10427336.23</v>
      </c>
      <c r="K27" s="84">
        <f>SUM(K15:K26)</f>
        <v>46923012.800000004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0.0012152322537853607</v>
      </c>
      <c r="D29" s="81">
        <f>_xlfn.IFERROR(D27/B27,"")</f>
        <v>0.9391144202230499</v>
      </c>
      <c r="E29" s="81">
        <f>_xlfn.IFERROR(E27/B27,"")</f>
        <v>0.05967034752316458</v>
      </c>
      <c r="I29" s="81">
        <f>_xlfn.IFERROR(I27/$E$27,"")</f>
        <v>0.4500000012275427</v>
      </c>
      <c r="J29" s="81">
        <f>_xlfn.IFERROR(J27/$E$27,"")</f>
        <v>0.1000000007096731</v>
      </c>
      <c r="K29" s="81">
        <f>_xlfn.IFERROR(K27/$E$27,"")</f>
        <v>0.4500000009398374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6.5" customHeight="1">
      <c r="A62" s="101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10.7109375" style="58" customWidth="1"/>
    <col min="7" max="7" width="10.7109375" style="57" customWidth="1"/>
    <col min="8" max="8" width="2.421875" style="57" customWidth="1"/>
    <col min="9" max="9" width="13.00390625" style="57" customWidth="1"/>
    <col min="10" max="10" width="12.7109375" style="57" customWidth="1"/>
    <col min="11" max="11" width="12.8515625" style="57" bestFit="1" customWidth="1"/>
    <col min="12" max="12" width="12.7109375" style="56" customWidth="1"/>
    <col min="13" max="16384" width="9.140625" style="56" customWidth="1"/>
  </cols>
  <sheetData>
    <row r="1" spans="1:11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</row>
    <row r="8" spans="1:11" s="97" customFormat="1" ht="14.25" customHeight="1">
      <c r="A8" s="103" t="s">
        <v>63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</row>
    <row r="10" spans="1:11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K11" s="94"/>
      <c r="M11" s="94"/>
    </row>
    <row r="12" spans="1:11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37</v>
      </c>
      <c r="K12" s="76" t="s">
        <v>36</v>
      </c>
    </row>
    <row r="13" spans="1:11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38</v>
      </c>
      <c r="K13" s="72" t="s">
        <v>13</v>
      </c>
    </row>
    <row r="15" spans="1:11" ht="12.75">
      <c r="A15" s="59">
        <v>43556</v>
      </c>
      <c r="B15" s="57">
        <v>332845596.42</v>
      </c>
      <c r="C15" s="57">
        <f>1435270.2-63849.75</f>
        <v>1371420.45</v>
      </c>
      <c r="D15" s="57">
        <f aca="true" t="shared" si="0" ref="D15:D26">IF(ISBLANK(B15),"",B15-C15-E15)</f>
        <v>311438401.11</v>
      </c>
      <c r="E15" s="57">
        <v>20035774.86</v>
      </c>
      <c r="F15" s="58">
        <f>30000/30</f>
        <v>1000</v>
      </c>
      <c r="G15" s="57">
        <f>_xlfn.IFERROR((E15/F15/30)," ")</f>
        <v>667.859162</v>
      </c>
      <c r="I15" s="57">
        <v>9016098.69</v>
      </c>
      <c r="J15" s="57">
        <v>2003577.5</v>
      </c>
      <c r="K15" s="57">
        <v>9016098.69</v>
      </c>
    </row>
    <row r="16" spans="1:11" ht="12.75">
      <c r="A16" s="59">
        <v>43586</v>
      </c>
      <c r="B16" s="57">
        <v>339745013.12</v>
      </c>
      <c r="C16" s="57">
        <f>1739943.99-500</f>
        <v>1739443.99</v>
      </c>
      <c r="D16" s="57">
        <f t="shared" si="0"/>
        <v>319059508.68</v>
      </c>
      <c r="E16" s="57">
        <v>18946060.45</v>
      </c>
      <c r="F16" s="58">
        <f>30964/31</f>
        <v>998.8387096774194</v>
      </c>
      <c r="G16" s="57">
        <f>_xlfn.IFERROR((E16/F16/31)," ")</f>
        <v>611.8738034491666</v>
      </c>
      <c r="I16" s="57">
        <v>8525727.21</v>
      </c>
      <c r="J16" s="57">
        <v>1894606.03</v>
      </c>
      <c r="K16" s="57">
        <v>8525727.21</v>
      </c>
    </row>
    <row r="17" spans="1:11" ht="12.75">
      <c r="A17" s="59">
        <v>43617</v>
      </c>
      <c r="B17" s="57">
        <v>321253086.39</v>
      </c>
      <c r="C17" s="57">
        <f>1549319.83-15269.8</f>
        <v>1534050.03</v>
      </c>
      <c r="D17" s="57">
        <f t="shared" si="0"/>
        <v>301436250.81</v>
      </c>
      <c r="E17" s="57">
        <v>18282785.55</v>
      </c>
      <c r="F17" s="58">
        <f>29980/30</f>
        <v>999.3333333333334</v>
      </c>
      <c r="G17" s="57">
        <f>_xlfn.IFERROR((E17/F17/30)," ")</f>
        <v>609.8327401601068</v>
      </c>
      <c r="I17" s="57">
        <v>8227253.52</v>
      </c>
      <c r="J17" s="57">
        <v>1828278.56</v>
      </c>
      <c r="K17" s="57">
        <v>8227253.52</v>
      </c>
    </row>
    <row r="18" spans="1:11" ht="12.75">
      <c r="A18" s="59">
        <v>43647</v>
      </c>
      <c r="B18" s="57">
        <v>339043727.52</v>
      </c>
      <c r="C18" s="57">
        <f>1717091.4-290</f>
        <v>1716801.4</v>
      </c>
      <c r="D18" s="57">
        <f t="shared" si="0"/>
        <v>318651583.5</v>
      </c>
      <c r="E18" s="57">
        <v>18675342.62</v>
      </c>
      <c r="F18" s="58">
        <f>31000/31</f>
        <v>1000</v>
      </c>
      <c r="G18" s="57">
        <f aca="true" t="shared" si="1" ref="G18:G24">_xlfn.IFERROR((E18/F18/31)," ")</f>
        <v>602.4304070967742</v>
      </c>
      <c r="I18" s="57">
        <v>8403904.18</v>
      </c>
      <c r="J18" s="57">
        <v>1867534.25</v>
      </c>
      <c r="K18" s="57">
        <v>8403904.17</v>
      </c>
    </row>
    <row r="19" spans="1:11" ht="12.75">
      <c r="A19" s="59">
        <v>43678</v>
      </c>
      <c r="B19" s="57">
        <v>340869008.36999995</v>
      </c>
      <c r="C19" s="57">
        <v>1676137.72</v>
      </c>
      <c r="D19" s="57">
        <f t="shared" si="0"/>
        <v>319986928.79897493</v>
      </c>
      <c r="E19" s="57">
        <v>19205941.851025004</v>
      </c>
      <c r="F19" s="58">
        <f>31000/31</f>
        <v>1000</v>
      </c>
      <c r="G19" s="57">
        <f t="shared" si="1"/>
        <v>619.5465113233872</v>
      </c>
      <c r="I19" s="57">
        <v>8642673.850000001</v>
      </c>
      <c r="J19" s="57">
        <v>1920594.2</v>
      </c>
      <c r="K19" s="57">
        <v>8642673.850000001</v>
      </c>
    </row>
    <row r="20" spans="1:11" ht="12.75">
      <c r="A20" s="59">
        <v>43709</v>
      </c>
      <c r="B20" s="57">
        <v>322901585.9100001</v>
      </c>
      <c r="C20" s="57">
        <v>1668098.34</v>
      </c>
      <c r="D20" s="57">
        <f t="shared" si="0"/>
        <v>302098705.55</v>
      </c>
      <c r="E20" s="57">
        <v>19134782.020000078</v>
      </c>
      <c r="F20" s="58">
        <f>30000/30</f>
        <v>1000</v>
      </c>
      <c r="G20" s="57">
        <f>_xlfn.IFERROR((E20/F20/30)," ")</f>
        <v>637.8260673333359</v>
      </c>
      <c r="I20" s="57">
        <v>8610651.909000035</v>
      </c>
      <c r="J20" s="57">
        <v>1913478.202000008</v>
      </c>
      <c r="K20" s="57">
        <v>8610651.909000035</v>
      </c>
    </row>
    <row r="21" spans="1:11" ht="12.75">
      <c r="A21" s="59">
        <v>43739</v>
      </c>
      <c r="B21" s="57">
        <v>332227881.34000003</v>
      </c>
      <c r="C21" s="57">
        <v>1600466.0499999998</v>
      </c>
      <c r="D21" s="57">
        <f t="shared" si="0"/>
        <v>311776133.8399999</v>
      </c>
      <c r="E21" s="57">
        <v>18851281.450000107</v>
      </c>
      <c r="F21" s="58">
        <f>31000/31</f>
        <v>1000</v>
      </c>
      <c r="G21" s="57">
        <f t="shared" si="1"/>
        <v>608.1058532258099</v>
      </c>
      <c r="I21" s="57">
        <v>8483076.66</v>
      </c>
      <c r="J21" s="57">
        <v>1885128.1600000004</v>
      </c>
      <c r="K21" s="57">
        <v>8483076.66</v>
      </c>
    </row>
    <row r="22" spans="1:11" ht="12.75">
      <c r="A22" s="59">
        <v>43770</v>
      </c>
      <c r="B22" s="57">
        <v>322070636.14000005</v>
      </c>
      <c r="C22" s="57">
        <v>1475638.0500000003</v>
      </c>
      <c r="D22" s="57">
        <f t="shared" si="0"/>
        <v>301515334.97</v>
      </c>
      <c r="E22" s="57">
        <v>19079663.119999997</v>
      </c>
      <c r="F22" s="58">
        <f>30000/30</f>
        <v>1000</v>
      </c>
      <c r="G22" s="57">
        <f>_xlfn.IFERROR((E22/F22/30)," ")</f>
        <v>635.9887706666666</v>
      </c>
      <c r="I22" s="57">
        <v>8585848.409999998</v>
      </c>
      <c r="J22" s="57">
        <v>1907966.33</v>
      </c>
      <c r="K22" s="57">
        <v>8585848.409999998</v>
      </c>
    </row>
    <row r="23" spans="1:11" ht="12.75">
      <c r="A23" s="59">
        <v>43800</v>
      </c>
      <c r="B23" s="57">
        <v>326091708.0400001</v>
      </c>
      <c r="C23" s="57">
        <v>1605819.58</v>
      </c>
      <c r="D23" s="57">
        <f t="shared" si="0"/>
        <v>305340914.4300001</v>
      </c>
      <c r="E23" s="57">
        <v>19144974.029999997</v>
      </c>
      <c r="F23" s="58">
        <f>31000/31</f>
        <v>1000</v>
      </c>
      <c r="G23" s="57">
        <f t="shared" si="1"/>
        <v>617.5798074193548</v>
      </c>
      <c r="I23" s="57">
        <v>8615238.350000001</v>
      </c>
      <c r="J23" s="57">
        <v>1914497.41</v>
      </c>
      <c r="K23" s="57">
        <v>8615238.320000002</v>
      </c>
    </row>
    <row r="24" spans="1:11" ht="12.75">
      <c r="A24" s="59">
        <v>43831</v>
      </c>
      <c r="B24" s="57">
        <v>335213006.31</v>
      </c>
      <c r="C24" s="57">
        <v>1527206.06</v>
      </c>
      <c r="D24" s="57">
        <f t="shared" si="0"/>
        <v>314138057.58</v>
      </c>
      <c r="E24" s="57">
        <v>19547742.67</v>
      </c>
      <c r="F24" s="58">
        <f>31000/31</f>
        <v>1000</v>
      </c>
      <c r="G24" s="57">
        <f t="shared" si="1"/>
        <v>630.5723441935485</v>
      </c>
      <c r="I24" s="57">
        <v>8796484.21</v>
      </c>
      <c r="J24" s="57">
        <v>1954774.27</v>
      </c>
      <c r="K24" s="57">
        <v>8796484.21</v>
      </c>
    </row>
    <row r="25" spans="1:11" ht="12.75">
      <c r="A25" s="59">
        <v>43862</v>
      </c>
      <c r="B25" s="57">
        <v>346694633.93999994</v>
      </c>
      <c r="C25" s="57">
        <v>1487147.5300000003</v>
      </c>
      <c r="D25" s="57">
        <f t="shared" si="0"/>
        <v>325277892.27</v>
      </c>
      <c r="E25" s="57">
        <v>19929594.139999993</v>
      </c>
      <c r="F25" s="58">
        <f>28950/29</f>
        <v>998.2758620689655</v>
      </c>
      <c r="G25" s="57">
        <f>_xlfn.IFERROR((E25/F25/29)," ")</f>
        <v>688.4143053540586</v>
      </c>
      <c r="I25" s="57">
        <v>8968317.339999998</v>
      </c>
      <c r="J25" s="57">
        <v>1992959.43</v>
      </c>
      <c r="K25" s="57">
        <v>8968317.339999998</v>
      </c>
    </row>
    <row r="26" spans="1:11" ht="12.75">
      <c r="A26" s="59">
        <v>43891</v>
      </c>
      <c r="B26" s="57">
        <v>143354155.26</v>
      </c>
      <c r="C26" s="57">
        <v>524416.2799999999</v>
      </c>
      <c r="D26" s="57">
        <f t="shared" si="0"/>
        <v>134919328.51</v>
      </c>
      <c r="E26" s="57">
        <v>7910410.470000003</v>
      </c>
      <c r="F26" s="58">
        <f>14000/14</f>
        <v>1000</v>
      </c>
      <c r="G26" s="57">
        <f>_xlfn.IFERROR((E26/F26/14)," ")</f>
        <v>565.0293192857146</v>
      </c>
      <c r="I26" s="57">
        <v>3559684.72</v>
      </c>
      <c r="J26" s="57">
        <v>791041.0499999999</v>
      </c>
      <c r="K26" s="57">
        <v>3559684.72</v>
      </c>
    </row>
    <row r="27" spans="1:11" ht="13.5" thickBot="1">
      <c r="A27" s="87" t="s">
        <v>15</v>
      </c>
      <c r="B27" s="84">
        <f>SUM(B15:B26)</f>
        <v>3802310038.7599993</v>
      </c>
      <c r="C27" s="84">
        <f>SUM(C15:C26)</f>
        <v>17926645.480000004</v>
      </c>
      <c r="D27" s="84">
        <f>SUM(D15:D26)</f>
        <v>3565639040.048975</v>
      </c>
      <c r="E27" s="84">
        <f>SUM(E15:E26)</f>
        <v>218744353.2310252</v>
      </c>
      <c r="F27" s="86">
        <f>_xlfn.IFERROR(AVERAGE(F15:F26),"")</f>
        <v>999.7039920899765</v>
      </c>
      <c r="G27" s="84">
        <f>E27/F27/349</f>
        <v>626.960236280972</v>
      </c>
      <c r="H27" s="85"/>
      <c r="I27" s="84">
        <f>SUM(I15:I26)</f>
        <v>98434959.04900002</v>
      </c>
      <c r="J27" s="84">
        <f>SUM(J15:J26)</f>
        <v>21874435.392000005</v>
      </c>
      <c r="K27" s="84">
        <f>SUM(K15:K26)</f>
        <v>98434959.00900003</v>
      </c>
    </row>
    <row r="28" spans="2:11" ht="10.5" customHeight="1" thickTop="1">
      <c r="B28" s="83"/>
      <c r="C28" s="83"/>
      <c r="D28" s="83"/>
      <c r="E28" s="83"/>
      <c r="I28" s="83"/>
      <c r="J28" s="83"/>
      <c r="K28" s="83"/>
    </row>
    <row r="29" spans="1:11" s="80" customFormat="1" ht="12.75">
      <c r="A29" s="82"/>
      <c r="B29" s="81"/>
      <c r="C29" s="81">
        <f>_xlfn.IFERROR(C27/B27,"")</f>
        <v>0.004714672211697445</v>
      </c>
      <c r="D29" s="81">
        <f>_xlfn.IFERROR(D27/B27,"")</f>
        <v>0.9377559966708535</v>
      </c>
      <c r="E29" s="81">
        <f>_xlfn.IFERROR(E27/B27,"")</f>
        <v>0.05752933111744922</v>
      </c>
      <c r="I29" s="81">
        <f>_xlfn.IFERROR(I27/$E$27,"")</f>
        <v>0.4500000004344738</v>
      </c>
      <c r="J29" s="81">
        <f>_xlfn.IFERROR(J27/$E$27,"")</f>
        <v>0.10000000031496807</v>
      </c>
      <c r="K29" s="81">
        <f>_xlfn.IFERROR(K27/$E$27,"")</f>
        <v>0.45000000025161196</v>
      </c>
    </row>
    <row r="31" spans="1:11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ht="12.75">
      <c r="A32" s="78"/>
    </row>
    <row r="33" spans="1:11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</row>
    <row r="34" spans="1:11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</row>
    <row r="35" spans="1:11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</row>
    <row r="36" spans="1:11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</row>
    <row r="37" spans="1:11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</row>
    <row r="38" spans="1:11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</row>
    <row r="39" spans="1:11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</row>
    <row r="40" spans="1:11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</row>
    <row r="41" spans="1:11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</row>
    <row r="42" spans="1:11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</row>
    <row r="43" spans="1:11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</row>
    <row r="44" spans="1:11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</row>
    <row r="45" spans="1:11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</row>
    <row r="46" spans="1:11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</row>
    <row r="47" spans="1:11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</row>
    <row r="48" spans="1:11" s="38" customFormat="1" ht="4.5" customHeight="1">
      <c r="A48" s="34"/>
      <c r="B48" s="35"/>
      <c r="C48" s="35"/>
      <c r="D48" s="39"/>
      <c r="E48" s="40"/>
      <c r="F48" s="35"/>
      <c r="G48" s="35"/>
      <c r="H48" s="35"/>
      <c r="I48" s="35"/>
      <c r="J48" s="35"/>
      <c r="K48" s="35"/>
    </row>
    <row r="49" spans="1:11" s="38" customFormat="1" ht="12.75" customHeight="1">
      <c r="A49" s="34"/>
      <c r="B49" s="35"/>
      <c r="C49" s="22" t="s">
        <v>65</v>
      </c>
      <c r="D49" s="99"/>
      <c r="E49" s="40"/>
      <c r="F49" s="35"/>
      <c r="G49" s="35"/>
      <c r="H49" s="35"/>
      <c r="I49" s="35"/>
      <c r="J49" s="35"/>
      <c r="K49" s="35"/>
    </row>
    <row r="50" spans="1:11" s="38" customFormat="1" ht="12.75" customHeight="1">
      <c r="A50" s="34"/>
      <c r="B50" s="35"/>
      <c r="C50" s="22" t="s">
        <v>64</v>
      </c>
      <c r="D50" s="99"/>
      <c r="E50" s="40"/>
      <c r="F50" s="35"/>
      <c r="G50" s="35"/>
      <c r="H50" s="35"/>
      <c r="I50" s="35"/>
      <c r="J50" s="35"/>
      <c r="K50" s="35"/>
    </row>
    <row r="51" spans="1:11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</row>
    <row r="52" spans="1:11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</row>
    <row r="53" spans="1:11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</row>
    <row r="54" spans="1:11" ht="12.75">
      <c r="A54" s="60"/>
      <c r="B54" s="64"/>
      <c r="C54" s="64"/>
      <c r="D54" s="64"/>
      <c r="F54" s="65"/>
      <c r="G54" s="64"/>
      <c r="H54" s="64"/>
      <c r="I54" s="64"/>
      <c r="J54" s="64"/>
      <c r="K54" s="64"/>
    </row>
    <row r="55" spans="1:11" ht="12.75">
      <c r="A55" s="103" t="s">
        <v>23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ht="12.75">
      <c r="A56" s="78"/>
    </row>
    <row r="57" spans="1:12" ht="13.5">
      <c r="A57" s="77"/>
      <c r="C57" s="76" t="s">
        <v>4</v>
      </c>
      <c r="D57" s="45" t="s">
        <v>37</v>
      </c>
      <c r="E57" s="102" t="s">
        <v>46</v>
      </c>
      <c r="F57" s="102"/>
      <c r="G57" s="102"/>
      <c r="H57" s="102"/>
      <c r="I57" s="102"/>
      <c r="J57" s="102"/>
      <c r="K57" s="56"/>
      <c r="L57" s="71"/>
    </row>
    <row r="58" spans="1:12" ht="12.75">
      <c r="A58" s="75"/>
      <c r="C58" s="72" t="s">
        <v>12</v>
      </c>
      <c r="D58" s="46" t="s">
        <v>38</v>
      </c>
      <c r="E58" s="72" t="s">
        <v>43</v>
      </c>
      <c r="F58" s="72" t="s">
        <v>44</v>
      </c>
      <c r="G58" s="72" t="s">
        <v>45</v>
      </c>
      <c r="H58" s="74"/>
      <c r="I58" s="72" t="s">
        <v>54</v>
      </c>
      <c r="J58" s="73" t="s">
        <v>55</v>
      </c>
      <c r="K58" s="56"/>
      <c r="L58" s="71"/>
    </row>
    <row r="59" spans="2:12" ht="12.75">
      <c r="B59" s="66"/>
      <c r="C59" s="67">
        <v>0.45</v>
      </c>
      <c r="D59" s="67">
        <v>0.1</v>
      </c>
      <c r="E59" s="67">
        <v>0.4</v>
      </c>
      <c r="F59" s="67">
        <v>0.023</v>
      </c>
      <c r="G59" s="67">
        <v>0.005</v>
      </c>
      <c r="H59" s="68"/>
      <c r="I59" s="67">
        <v>0.009</v>
      </c>
      <c r="J59" s="67">
        <v>0.013</v>
      </c>
      <c r="K59" s="56"/>
      <c r="L59" s="70"/>
    </row>
    <row r="60" spans="1:11" s="61" customFormat="1" ht="12.75">
      <c r="A60" s="59"/>
      <c r="B60" s="66"/>
      <c r="C60" s="66"/>
      <c r="D60" s="66"/>
      <c r="E60" s="67"/>
      <c r="F60" s="67"/>
      <c r="G60" s="69"/>
      <c r="H60" s="68"/>
      <c r="I60" s="67"/>
      <c r="J60" s="67"/>
      <c r="K60" s="67"/>
    </row>
    <row r="61" spans="1:11" s="61" customFormat="1" ht="12.75">
      <c r="A61" s="59"/>
      <c r="B61" s="66"/>
      <c r="C61" s="66"/>
      <c r="D61" s="66"/>
      <c r="E61" s="64"/>
      <c r="F61" s="65"/>
      <c r="G61" s="63"/>
      <c r="H61" s="64"/>
      <c r="I61" s="63"/>
      <c r="J61" s="63"/>
      <c r="K61" s="63"/>
    </row>
    <row r="62" ht="12.75">
      <c r="A62" s="60" t="s">
        <v>50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82" r:id="rId3"/>
  <ignoredErrors>
    <ignoredError sqref="G16:G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31">
      <selection activeCell="A61" sqref="A61"/>
    </sheetView>
  </sheetViews>
  <sheetFormatPr defaultColWidth="9.140625" defaultRowHeight="12.75"/>
  <cols>
    <col min="1" max="1" width="9.28125" style="59" customWidth="1"/>
    <col min="2" max="2" width="14.140625" style="57" customWidth="1"/>
    <col min="3" max="3" width="13.57421875" style="57" customWidth="1"/>
    <col min="4" max="4" width="14.140625" style="57" customWidth="1"/>
    <col min="5" max="5" width="12.7109375" style="57" customWidth="1"/>
    <col min="6" max="6" width="8.57421875" style="58" customWidth="1"/>
    <col min="7" max="7" width="9.57421875" style="57" customWidth="1"/>
    <col min="8" max="8" width="1.421875" style="57" customWidth="1"/>
    <col min="9" max="9" width="13.00390625" style="57" customWidth="1"/>
    <col min="10" max="10" width="12.7109375" style="57" customWidth="1"/>
    <col min="11" max="12" width="12.8515625" style="57" bestFit="1" customWidth="1"/>
    <col min="13" max="13" width="11.28125" style="57" customWidth="1"/>
    <col min="14" max="14" width="12.7109375" style="56" customWidth="1"/>
    <col min="15" max="16384" width="9.140625" style="56" customWidth="1"/>
  </cols>
  <sheetData>
    <row r="1" spans="1:13" ht="18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93" customFormat="1" ht="15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93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93" customFormat="1" ht="14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93" customFormat="1" ht="14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93" customFormat="1" ht="12.75">
      <c r="A7" s="59"/>
      <c r="B7" s="96"/>
      <c r="C7" s="96"/>
      <c r="D7" s="96"/>
      <c r="E7" s="94"/>
      <c r="F7" s="95"/>
      <c r="G7" s="94"/>
      <c r="H7" s="94"/>
      <c r="I7" s="94"/>
      <c r="J7" s="94"/>
      <c r="K7" s="94"/>
      <c r="L7" s="94"/>
      <c r="M7" s="94"/>
    </row>
    <row r="8" spans="1:13" s="97" customFormat="1" ht="14.25" customHeight="1">
      <c r="A8" s="103" t="s">
        <v>62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10"/>
    </row>
    <row r="9" spans="1:13" s="93" customFormat="1" ht="9" customHeight="1">
      <c r="A9" s="59"/>
      <c r="B9" s="96"/>
      <c r="C9" s="96"/>
      <c r="D9" s="96"/>
      <c r="E9" s="94"/>
      <c r="F9" s="95"/>
      <c r="G9" s="94"/>
      <c r="H9" s="94"/>
      <c r="I9" s="94"/>
      <c r="J9" s="94"/>
      <c r="K9" s="94"/>
      <c r="L9" s="94"/>
      <c r="M9" s="94"/>
    </row>
    <row r="10" spans="1:13" s="93" customFormat="1" ht="12.75">
      <c r="A10" s="59"/>
      <c r="B10" s="94"/>
      <c r="C10" s="94"/>
      <c r="D10" s="94"/>
      <c r="E10" s="94"/>
      <c r="F10" s="95"/>
      <c r="G10" s="94"/>
      <c r="H10" s="94"/>
      <c r="I10" s="102" t="s">
        <v>0</v>
      </c>
      <c r="J10" s="102"/>
      <c r="K10" s="102"/>
      <c r="L10" s="102"/>
      <c r="M10" s="102"/>
    </row>
    <row r="11" spans="1:13" s="93" customFormat="1" ht="12.75">
      <c r="A11" s="59"/>
      <c r="B11" s="94"/>
      <c r="C11" s="94"/>
      <c r="D11" s="94"/>
      <c r="E11" s="94"/>
      <c r="F11" s="95"/>
      <c r="G11" s="94"/>
      <c r="H11" s="94"/>
      <c r="I11" s="94"/>
      <c r="J11" s="94"/>
      <c r="K11" s="94"/>
      <c r="L11" s="94"/>
      <c r="M11" s="94"/>
    </row>
    <row r="12" spans="1:13" s="88" customFormat="1" ht="12">
      <c r="A12" s="92"/>
      <c r="B12" s="76" t="s">
        <v>1</v>
      </c>
      <c r="C12" s="76" t="s">
        <v>29</v>
      </c>
      <c r="D12" s="76" t="s">
        <v>1</v>
      </c>
      <c r="E12" s="76"/>
      <c r="F12" s="91" t="s">
        <v>2</v>
      </c>
      <c r="G12" s="76" t="s">
        <v>3</v>
      </c>
      <c r="H12" s="76"/>
      <c r="I12" s="76" t="s">
        <v>4</v>
      </c>
      <c r="J12" s="76" t="s">
        <v>36</v>
      </c>
      <c r="K12" s="76" t="s">
        <v>5</v>
      </c>
      <c r="L12" s="76" t="s">
        <v>37</v>
      </c>
      <c r="M12" s="76" t="s">
        <v>24</v>
      </c>
    </row>
    <row r="13" spans="1:13" s="88" customFormat="1" ht="12">
      <c r="A13" s="90" t="s">
        <v>6</v>
      </c>
      <c r="B13" s="72" t="s">
        <v>7</v>
      </c>
      <c r="C13" s="72" t="s">
        <v>14</v>
      </c>
      <c r="D13" s="72" t="s">
        <v>8</v>
      </c>
      <c r="E13" s="72" t="s">
        <v>9</v>
      </c>
      <c r="F13" s="89" t="s">
        <v>10</v>
      </c>
      <c r="G13" s="72" t="s">
        <v>11</v>
      </c>
      <c r="H13" s="71"/>
      <c r="I13" s="72" t="s">
        <v>12</v>
      </c>
      <c r="J13" s="72" t="s">
        <v>13</v>
      </c>
      <c r="K13" s="72" t="s">
        <v>14</v>
      </c>
      <c r="L13" s="72" t="s">
        <v>38</v>
      </c>
      <c r="M13" s="72" t="s">
        <v>25</v>
      </c>
    </row>
    <row r="15" spans="1:13" ht="12.75">
      <c r="A15" s="59">
        <v>43191</v>
      </c>
      <c r="B15" s="57">
        <v>280495831.91</v>
      </c>
      <c r="C15" s="57">
        <f>786490.02-455224.7</f>
        <v>331265.32</v>
      </c>
      <c r="D15" s="57">
        <f aca="true" t="shared" si="0" ref="D15:D26">IF(ISBLANK(B15),"",B15-C15-E15)</f>
        <v>262735084.25000003</v>
      </c>
      <c r="E15" s="57">
        <v>17429482.34</v>
      </c>
      <c r="F15" s="58">
        <f>30000/30</f>
        <v>1000</v>
      </c>
      <c r="G15" s="57">
        <f>E15/F15/30</f>
        <v>580.9827446666666</v>
      </c>
      <c r="I15" s="57">
        <v>7843267.04</v>
      </c>
      <c r="J15" s="57">
        <v>6100318.8</v>
      </c>
      <c r="K15" s="57">
        <v>1742948.27</v>
      </c>
      <c r="L15" s="57">
        <v>1742948.27</v>
      </c>
      <c r="M15" s="57">
        <v>0</v>
      </c>
    </row>
    <row r="16" spans="1:13" ht="12.75">
      <c r="A16" s="59">
        <v>43221</v>
      </c>
      <c r="B16" s="57">
        <v>282275448.28</v>
      </c>
      <c r="C16" s="57">
        <f>798293.93-3225</f>
        <v>795068.93</v>
      </c>
      <c r="D16" s="57">
        <f t="shared" si="0"/>
        <v>264094119.85999995</v>
      </c>
      <c r="E16" s="57">
        <v>17386259.49</v>
      </c>
      <c r="F16" s="58">
        <f>31000/31</f>
        <v>1000</v>
      </c>
      <c r="G16" s="57">
        <f>IF(ISBLANK(B16),"",E16/F16/31)</f>
        <v>560.8470803225805</v>
      </c>
      <c r="I16" s="57">
        <v>7823816.73</v>
      </c>
      <c r="J16" s="57">
        <v>6085190.82</v>
      </c>
      <c r="K16" s="57">
        <v>1738625.93</v>
      </c>
      <c r="L16" s="57">
        <v>1738625.93</v>
      </c>
      <c r="M16" s="57">
        <v>0</v>
      </c>
    </row>
    <row r="17" spans="1:13" ht="12.75">
      <c r="A17" s="59">
        <v>43252</v>
      </c>
      <c r="B17" s="57">
        <v>263775306.93</v>
      </c>
      <c r="C17" s="57">
        <f>728874.84-4000</f>
        <v>724874.84</v>
      </c>
      <c r="D17" s="57">
        <f t="shared" si="0"/>
        <v>246954117.73000002</v>
      </c>
      <c r="E17" s="57">
        <v>16096314.36</v>
      </c>
      <c r="F17" s="58">
        <f>30000/30</f>
        <v>1000</v>
      </c>
      <c r="G17" s="57">
        <f>IF(ISBLANK(B17),"",E17/F17/30)</f>
        <v>536.543812</v>
      </c>
      <c r="I17" s="57">
        <v>7243341.47</v>
      </c>
      <c r="J17" s="57">
        <v>5633710.02</v>
      </c>
      <c r="K17" s="57">
        <v>1609631.43</v>
      </c>
      <c r="L17" s="57">
        <v>1609631.43</v>
      </c>
      <c r="M17" s="57">
        <v>0</v>
      </c>
    </row>
    <row r="18" spans="1:13" ht="12.75">
      <c r="A18" s="59">
        <v>43282</v>
      </c>
      <c r="B18" s="57">
        <v>283610457.88</v>
      </c>
      <c r="C18" s="57">
        <f>882648.19-3425</f>
        <v>879223.19</v>
      </c>
      <c r="D18" s="57">
        <f t="shared" si="0"/>
        <v>265456896.79</v>
      </c>
      <c r="E18" s="57">
        <v>17274337.9</v>
      </c>
      <c r="F18" s="58">
        <f>31000/31</f>
        <v>1000</v>
      </c>
      <c r="G18" s="57">
        <f aca="true" t="shared" si="1" ref="G18:G26">IF(ISBLANK(B18),"",E18/F18/31)</f>
        <v>557.2367064516128</v>
      </c>
      <c r="I18" s="57">
        <v>7773452.05</v>
      </c>
      <c r="J18" s="57">
        <v>6046018.27</v>
      </c>
      <c r="K18" s="57">
        <v>1727433.77</v>
      </c>
      <c r="L18" s="57">
        <v>1727433.78</v>
      </c>
      <c r="M18" s="57">
        <v>0</v>
      </c>
    </row>
    <row r="19" spans="1:13" ht="12.75">
      <c r="A19" s="59">
        <v>43313</v>
      </c>
      <c r="B19" s="57">
        <v>291505760.65</v>
      </c>
      <c r="C19" s="57">
        <f>911828.02-3140</f>
        <v>908688.02</v>
      </c>
      <c r="D19" s="57">
        <f t="shared" si="0"/>
        <v>272852093.51</v>
      </c>
      <c r="E19" s="57">
        <v>17744979.12</v>
      </c>
      <c r="F19" s="58">
        <f>31000/31</f>
        <v>1000</v>
      </c>
      <c r="G19" s="57">
        <f t="shared" si="1"/>
        <v>572.4186812903225</v>
      </c>
      <c r="H19" s="57">
        <v>6379045</v>
      </c>
      <c r="I19" s="57">
        <v>7985240.62</v>
      </c>
      <c r="J19" s="57">
        <v>6210742.72</v>
      </c>
      <c r="K19" s="57">
        <v>1774497.9</v>
      </c>
      <c r="L19" s="57">
        <v>1774497.9</v>
      </c>
      <c r="M19" s="57">
        <v>0</v>
      </c>
    </row>
    <row r="20" spans="1:13" ht="12.75">
      <c r="A20" s="59">
        <v>43344</v>
      </c>
      <c r="B20" s="57">
        <v>283610499.24</v>
      </c>
      <c r="C20" s="57">
        <f>896931.08-50</f>
        <v>896881.08</v>
      </c>
      <c r="D20" s="57">
        <f t="shared" si="0"/>
        <v>265799006.13000003</v>
      </c>
      <c r="E20" s="57">
        <v>16914612.03</v>
      </c>
      <c r="F20" s="58">
        <f>30000/30</f>
        <v>1000</v>
      </c>
      <c r="G20" s="57">
        <f>IF(ISBLANK(B20),"",E20/F20/30)</f>
        <v>563.8204010000001</v>
      </c>
      <c r="I20" s="57">
        <v>7611575.4</v>
      </c>
      <c r="J20" s="57">
        <v>5920114.22</v>
      </c>
      <c r="K20" s="57">
        <v>1691461.19</v>
      </c>
      <c r="L20" s="57">
        <v>1691461.19</v>
      </c>
      <c r="M20" s="57">
        <v>0</v>
      </c>
    </row>
    <row r="21" spans="1:13" ht="12.75">
      <c r="A21" s="59">
        <v>43374</v>
      </c>
      <c r="B21" s="57">
        <v>280095606.75</v>
      </c>
      <c r="C21" s="57">
        <f>1045226.41-455</f>
        <v>1044771.41</v>
      </c>
      <c r="D21" s="57">
        <f t="shared" si="0"/>
        <v>262490273.56999996</v>
      </c>
      <c r="E21" s="57">
        <v>16560561.77</v>
      </c>
      <c r="F21" s="58">
        <f>31000/31</f>
        <v>1000</v>
      </c>
      <c r="G21" s="57">
        <f t="shared" si="1"/>
        <v>534.21167</v>
      </c>
      <c r="I21" s="57">
        <v>7452252.8</v>
      </c>
      <c r="J21" s="57">
        <v>5796196.64</v>
      </c>
      <c r="K21" s="57">
        <v>1656056.2</v>
      </c>
      <c r="L21" s="57">
        <v>1656056.18</v>
      </c>
      <c r="M21" s="57">
        <v>0</v>
      </c>
    </row>
    <row r="22" spans="1:13" ht="12.75">
      <c r="A22" s="59">
        <v>43405</v>
      </c>
      <c r="B22" s="57">
        <v>276815738.22</v>
      </c>
      <c r="C22" s="57">
        <f>887557.91-200</f>
        <v>887357.91</v>
      </c>
      <c r="D22" s="57">
        <f t="shared" si="0"/>
        <v>259942519.79</v>
      </c>
      <c r="E22" s="57">
        <v>15985860.52</v>
      </c>
      <c r="F22" s="58">
        <f>30000/30</f>
        <v>1000</v>
      </c>
      <c r="G22" s="57">
        <f>IF(ISBLANK(B22),"",E22/F22/30)</f>
        <v>532.8620173333334</v>
      </c>
      <c r="I22" s="57">
        <v>7193637.23</v>
      </c>
      <c r="J22" s="57">
        <v>5595051.17</v>
      </c>
      <c r="K22" s="57">
        <v>1598586.04</v>
      </c>
      <c r="L22" s="57">
        <v>1598586.06</v>
      </c>
      <c r="M22" s="57">
        <v>0</v>
      </c>
    </row>
    <row r="23" spans="1:13" ht="12.75">
      <c r="A23" s="59">
        <v>43435</v>
      </c>
      <c r="B23" s="57">
        <v>295179348.43</v>
      </c>
      <c r="C23" s="57">
        <f>970879.92-47884.32</f>
        <v>922995.6000000001</v>
      </c>
      <c r="D23" s="57">
        <f t="shared" si="0"/>
        <v>276915350.88</v>
      </c>
      <c r="E23" s="57">
        <v>17341001.95</v>
      </c>
      <c r="F23" s="58">
        <f>31000/31</f>
        <v>1000</v>
      </c>
      <c r="G23" s="57">
        <f t="shared" si="1"/>
        <v>559.3871596774193</v>
      </c>
      <c r="I23" s="57">
        <v>7803450.87</v>
      </c>
      <c r="J23" s="57">
        <v>6069350.66</v>
      </c>
      <c r="K23" s="57">
        <v>1734100.21</v>
      </c>
      <c r="L23" s="57">
        <v>1734100.21</v>
      </c>
      <c r="M23" s="57">
        <v>0</v>
      </c>
    </row>
    <row r="24" spans="1:13" ht="12.75">
      <c r="A24" s="59">
        <v>43466</v>
      </c>
      <c r="B24" s="57">
        <v>307983523.21</v>
      </c>
      <c r="C24" s="57">
        <f>1015863.9-725</f>
        <v>1015138.9</v>
      </c>
      <c r="D24" s="57">
        <f t="shared" si="0"/>
        <v>289212022.89</v>
      </c>
      <c r="E24" s="57">
        <v>17756361.42</v>
      </c>
      <c r="F24" s="58">
        <f>31000/31</f>
        <v>1000</v>
      </c>
      <c r="G24" s="57">
        <f t="shared" si="1"/>
        <v>572.7858522580646</v>
      </c>
      <c r="I24" s="57">
        <v>7990362.67</v>
      </c>
      <c r="J24" s="57">
        <v>6214726.49</v>
      </c>
      <c r="K24" s="57">
        <v>1775636.17</v>
      </c>
      <c r="L24" s="57">
        <v>1775636.16</v>
      </c>
      <c r="M24" s="57">
        <v>0</v>
      </c>
    </row>
    <row r="25" spans="1:13" ht="12.75">
      <c r="A25" s="59">
        <v>43497</v>
      </c>
      <c r="B25" s="57">
        <v>306606867.53</v>
      </c>
      <c r="C25" s="57">
        <f>1074751.8-38014.98</f>
        <v>1036736.8200000001</v>
      </c>
      <c r="D25" s="57">
        <f t="shared" si="0"/>
        <v>287854104.15</v>
      </c>
      <c r="E25" s="57">
        <v>17716026.56</v>
      </c>
      <c r="F25" s="58">
        <f>28000/28</f>
        <v>1000</v>
      </c>
      <c r="G25" s="57">
        <f>IF(ISBLANK(B25),"",E25/F25/28)</f>
        <v>632.7152342857142</v>
      </c>
      <c r="I25" s="57">
        <v>7972211.96</v>
      </c>
      <c r="J25" s="57">
        <v>6200609.31</v>
      </c>
      <c r="K25" s="57">
        <v>1771602.66</v>
      </c>
      <c r="L25" s="57">
        <v>1771602.67</v>
      </c>
      <c r="M25" s="57">
        <v>0</v>
      </c>
    </row>
    <row r="26" spans="1:13" ht="12.75">
      <c r="A26" s="59">
        <v>43525</v>
      </c>
      <c r="B26" s="57">
        <v>345528427.47</v>
      </c>
      <c r="C26" s="57">
        <f>1289108.54-625</f>
        <v>1288483.54</v>
      </c>
      <c r="D26" s="57">
        <f t="shared" si="0"/>
        <v>323384366.19</v>
      </c>
      <c r="E26" s="57">
        <v>20855577.74</v>
      </c>
      <c r="F26" s="58">
        <f>31000/31</f>
        <v>1000</v>
      </c>
      <c r="G26" s="57">
        <f t="shared" si="1"/>
        <v>672.7605722580644</v>
      </c>
      <c r="I26" s="57">
        <v>9385010</v>
      </c>
      <c r="J26" s="57">
        <v>7299452.22</v>
      </c>
      <c r="K26" s="57">
        <v>2085557.83</v>
      </c>
      <c r="L26" s="57">
        <v>2085557.83</v>
      </c>
      <c r="M26" s="57">
        <v>0</v>
      </c>
    </row>
    <row r="27" spans="1:13" ht="13.5" thickBot="1">
      <c r="A27" s="87" t="s">
        <v>15</v>
      </c>
      <c r="B27" s="84">
        <f>SUM(B15:B26)</f>
        <v>3497482816.5</v>
      </c>
      <c r="C27" s="84">
        <f>SUM(C15:C26)</f>
        <v>10731485.560000002</v>
      </c>
      <c r="D27" s="84">
        <f>SUM(D15:D26)</f>
        <v>3277689955.74</v>
      </c>
      <c r="E27" s="84">
        <f>SUM(E15:E26)</f>
        <v>209061375.2</v>
      </c>
      <c r="F27" s="86">
        <f>AVERAGE(F15:F26)</f>
        <v>1000</v>
      </c>
      <c r="G27" s="84">
        <f>AVERAGE(G15:G26)</f>
        <v>573.0476609619816</v>
      </c>
      <c r="H27" s="85"/>
      <c r="I27" s="84">
        <f>SUM(I15:I26)</f>
        <v>94077618.83999999</v>
      </c>
      <c r="J27" s="84">
        <f>SUM(J15:J26)</f>
        <v>73171481.34000002</v>
      </c>
      <c r="K27" s="84">
        <f>SUM(K15:K26)</f>
        <v>20906137.6</v>
      </c>
      <c r="L27" s="84">
        <f>SUM(L15:L26)</f>
        <v>20906137.61</v>
      </c>
      <c r="M27" s="84">
        <f>SUM(M15:M26)</f>
        <v>0</v>
      </c>
    </row>
    <row r="28" spans="2:13" ht="10.5" customHeight="1" thickTop="1">
      <c r="B28" s="83"/>
      <c r="C28" s="83"/>
      <c r="D28" s="83"/>
      <c r="E28" s="83"/>
      <c r="I28" s="83"/>
      <c r="J28" s="83"/>
      <c r="K28" s="83"/>
      <c r="L28" s="83"/>
      <c r="M28" s="83"/>
    </row>
    <row r="29" spans="1:13" s="80" customFormat="1" ht="12.75">
      <c r="A29" s="82"/>
      <c r="B29" s="81"/>
      <c r="C29" s="81">
        <f>C27/B27</f>
        <v>0.003068345471026277</v>
      </c>
      <c r="D29" s="81">
        <f>D27/B27</f>
        <v>0.9371568432808052</v>
      </c>
      <c r="E29" s="81">
        <f>E27/B27</f>
        <v>0.05977481124816843</v>
      </c>
      <c r="I29" s="81">
        <f>I27/$E$27</f>
        <v>0.44999999999999996</v>
      </c>
      <c r="J29" s="81">
        <f>J27/$E$27</f>
        <v>0.3500000000956658</v>
      </c>
      <c r="K29" s="81">
        <f>K27/$E$27</f>
        <v>0.10000000038266275</v>
      </c>
      <c r="L29" s="81">
        <f>L27/$E$27</f>
        <v>0.10000000043049559</v>
      </c>
      <c r="M29" s="81">
        <f>M27/$E$27</f>
        <v>0</v>
      </c>
    </row>
    <row r="31" spans="1:13" s="61" customFormat="1" ht="12.75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10"/>
    </row>
    <row r="32" ht="12.75">
      <c r="A32" s="78"/>
    </row>
    <row r="33" spans="1:12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3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79" t="s">
        <v>49</v>
      </c>
      <c r="B36" s="64"/>
      <c r="C36" s="64" t="s">
        <v>42</v>
      </c>
      <c r="F36" s="64"/>
      <c r="G36" s="64"/>
      <c r="H36" s="64"/>
      <c r="I36" s="64"/>
      <c r="J36" s="64"/>
      <c r="K36" s="64"/>
      <c r="L36" s="64"/>
      <c r="M36" s="64"/>
    </row>
    <row r="37" spans="1:13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  <c r="L37" s="35"/>
      <c r="M37" s="35"/>
    </row>
    <row r="38" spans="1:13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  <c r="L38" s="35"/>
      <c r="M38" s="35"/>
    </row>
    <row r="39" spans="1:13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  <c r="L39" s="35"/>
      <c r="M39" s="35"/>
    </row>
    <row r="40" spans="1:13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  <c r="L40" s="35"/>
      <c r="M40" s="35"/>
    </row>
    <row r="41" spans="1:13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  <c r="L41" s="35"/>
      <c r="M41" s="35"/>
    </row>
    <row r="42" spans="1:13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  <c r="L42" s="35"/>
      <c r="M42" s="35"/>
    </row>
    <row r="43" spans="1:13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  <c r="L43" s="35"/>
      <c r="M43" s="35"/>
    </row>
    <row r="44" spans="1:13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  <c r="L44" s="35"/>
      <c r="M44" s="35"/>
    </row>
    <row r="45" spans="1:12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  <c r="L45" s="35"/>
    </row>
    <row r="46" spans="1:12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  <c r="L46" s="35"/>
    </row>
    <row r="47" spans="1:12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  <c r="L47" s="35"/>
    </row>
    <row r="48" spans="1:13" s="38" customFormat="1" ht="6" customHeight="1">
      <c r="A48" s="34"/>
      <c r="B48" s="35"/>
      <c r="C48" s="35"/>
      <c r="D48" s="35"/>
      <c r="E48" s="39"/>
      <c r="F48" s="40"/>
      <c r="G48" s="35"/>
      <c r="H48" s="35"/>
      <c r="I48" s="35"/>
      <c r="J48" s="35"/>
      <c r="K48" s="35"/>
      <c r="L48" s="35"/>
      <c r="M48" s="35"/>
    </row>
    <row r="49" spans="1:12" s="38" customFormat="1" ht="12.75">
      <c r="A49" s="34" t="s">
        <v>22</v>
      </c>
      <c r="B49" s="35"/>
      <c r="C49" s="35" t="s">
        <v>30</v>
      </c>
      <c r="D49" s="39"/>
      <c r="E49" s="40"/>
      <c r="F49" s="35"/>
      <c r="G49" s="35"/>
      <c r="H49" s="35"/>
      <c r="I49" s="35"/>
      <c r="J49" s="35"/>
      <c r="K49" s="35"/>
      <c r="L49" s="35"/>
    </row>
    <row r="50" spans="1:12" s="38" customFormat="1" ht="12.75">
      <c r="A50" s="34"/>
      <c r="B50" s="35"/>
      <c r="C50" s="35" t="s">
        <v>31</v>
      </c>
      <c r="D50" s="39"/>
      <c r="E50" s="40"/>
      <c r="F50" s="35"/>
      <c r="G50" s="35"/>
      <c r="H50" s="35"/>
      <c r="I50" s="35"/>
      <c r="J50" s="35"/>
      <c r="K50" s="35"/>
      <c r="L50" s="35"/>
    </row>
    <row r="51" spans="1:13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  <c r="L51" s="35"/>
      <c r="M51" s="35"/>
    </row>
    <row r="52" spans="1:12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  <c r="L52" s="35"/>
    </row>
    <row r="53" spans="1:12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  <c r="L53" s="35"/>
    </row>
    <row r="54" spans="1:13" s="38" customFormat="1" ht="6" customHeight="1">
      <c r="A54" s="42"/>
      <c r="B54" s="43"/>
      <c r="C54" s="43"/>
      <c r="E54" s="43"/>
      <c r="F54" s="44"/>
      <c r="G54" s="43"/>
      <c r="H54" s="43"/>
      <c r="I54" s="43"/>
      <c r="J54" s="43"/>
      <c r="K54" s="43"/>
      <c r="L54" s="43"/>
      <c r="M54" s="43"/>
    </row>
    <row r="55" spans="1:13" s="38" customFormat="1" ht="12.75">
      <c r="A55" s="34" t="s">
        <v>26</v>
      </c>
      <c r="B55" s="35"/>
      <c r="C55" s="35" t="s">
        <v>56</v>
      </c>
      <c r="E55" s="39"/>
      <c r="F55" s="40"/>
      <c r="G55" s="35"/>
      <c r="H55" s="35"/>
      <c r="I55" s="35"/>
      <c r="J55" s="35"/>
      <c r="K55" s="35"/>
      <c r="L55" s="35"/>
      <c r="M55" s="39"/>
    </row>
    <row r="56" spans="1:13" s="38" customFormat="1" ht="12.75">
      <c r="A56" s="41"/>
      <c r="B56" s="35"/>
      <c r="C56" s="35"/>
      <c r="E56" s="39"/>
      <c r="F56" s="40"/>
      <c r="G56" s="35"/>
      <c r="H56" s="35"/>
      <c r="I56" s="35"/>
      <c r="J56" s="35"/>
      <c r="K56" s="35"/>
      <c r="L56" s="35"/>
      <c r="M56" s="39"/>
    </row>
    <row r="57" spans="1:12" ht="12.75">
      <c r="A57" s="60"/>
      <c r="B57" s="64"/>
      <c r="C57" s="64"/>
      <c r="D57" s="64"/>
      <c r="F57" s="65"/>
      <c r="G57" s="64"/>
      <c r="H57" s="64"/>
      <c r="I57" s="64"/>
      <c r="J57" s="64"/>
      <c r="K57" s="64"/>
      <c r="L57" s="64"/>
    </row>
    <row r="58" spans="1:13" ht="12.75">
      <c r="A58" s="103" t="s">
        <v>23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10"/>
    </row>
    <row r="59" ht="12.75">
      <c r="A59" s="78"/>
    </row>
    <row r="60" spans="1:14" ht="13.5">
      <c r="A60" s="77"/>
      <c r="D60" s="76" t="s">
        <v>4</v>
      </c>
      <c r="E60" s="102" t="s">
        <v>46</v>
      </c>
      <c r="F60" s="102"/>
      <c r="G60" s="102"/>
      <c r="H60" s="102"/>
      <c r="I60" s="102"/>
      <c r="J60" s="102"/>
      <c r="K60" s="76" t="s">
        <v>5</v>
      </c>
      <c r="L60" s="45" t="s">
        <v>37</v>
      </c>
      <c r="M60" s="76" t="s">
        <v>24</v>
      </c>
      <c r="N60" s="71"/>
    </row>
    <row r="61" spans="1:14" ht="12.75">
      <c r="A61" s="75"/>
      <c r="D61" s="72" t="s">
        <v>12</v>
      </c>
      <c r="E61" s="72" t="s">
        <v>43</v>
      </c>
      <c r="F61" s="73" t="s">
        <v>44</v>
      </c>
      <c r="G61" s="72" t="s">
        <v>45</v>
      </c>
      <c r="H61" s="74"/>
      <c r="I61" s="72" t="s">
        <v>54</v>
      </c>
      <c r="J61" s="73" t="s">
        <v>55</v>
      </c>
      <c r="K61" s="72" t="s">
        <v>14</v>
      </c>
      <c r="L61" s="46" t="s">
        <v>38</v>
      </c>
      <c r="M61" s="72" t="s">
        <v>25</v>
      </c>
      <c r="N61" s="71"/>
    </row>
    <row r="62" spans="2:14" ht="12.75">
      <c r="B62" s="66"/>
      <c r="C62" s="66"/>
      <c r="D62" s="66"/>
      <c r="E62" s="67"/>
      <c r="F62" s="67"/>
      <c r="G62" s="69"/>
      <c r="H62" s="68"/>
      <c r="I62" s="67"/>
      <c r="J62" s="67"/>
      <c r="K62" s="67"/>
      <c r="L62" s="67"/>
      <c r="M62" s="62"/>
      <c r="N62" s="70"/>
    </row>
    <row r="63" spans="2:14" ht="12.75">
      <c r="B63" s="66" t="s">
        <v>53</v>
      </c>
      <c r="C63" s="66"/>
      <c r="D63" s="67">
        <v>0.45</v>
      </c>
      <c r="E63" s="67">
        <v>0.3</v>
      </c>
      <c r="F63" s="67">
        <v>0.023</v>
      </c>
      <c r="G63" s="69">
        <v>0.005</v>
      </c>
      <c r="H63" s="68"/>
      <c r="I63" s="67">
        <v>0.009</v>
      </c>
      <c r="J63" s="67">
        <v>0.013</v>
      </c>
      <c r="K63" s="67">
        <v>0.1</v>
      </c>
      <c r="L63" s="67">
        <v>0.1</v>
      </c>
      <c r="M63" s="62">
        <v>0</v>
      </c>
      <c r="N63" s="70"/>
    </row>
    <row r="64" spans="1:13" s="61" customFormat="1" ht="12.75">
      <c r="A64" s="59"/>
      <c r="B64" s="66"/>
      <c r="C64" s="66"/>
      <c r="D64" s="66"/>
      <c r="E64" s="67"/>
      <c r="F64" s="67"/>
      <c r="G64" s="69"/>
      <c r="H64" s="68"/>
      <c r="I64" s="67"/>
      <c r="J64" s="67"/>
      <c r="K64" s="67"/>
      <c r="L64" s="67"/>
      <c r="M64" s="62"/>
    </row>
    <row r="65" spans="1:13" s="61" customFormat="1" ht="12.75">
      <c r="A65" s="59"/>
      <c r="B65" s="66"/>
      <c r="C65" s="66"/>
      <c r="D65" s="66"/>
      <c r="E65" s="64"/>
      <c r="F65" s="65"/>
      <c r="G65" s="63"/>
      <c r="H65" s="64"/>
      <c r="I65" s="63"/>
      <c r="J65" s="63"/>
      <c r="K65" s="63"/>
      <c r="L65" s="63"/>
      <c r="M65" s="62"/>
    </row>
    <row r="66" ht="12.75">
      <c r="A66" s="60" t="s">
        <v>50</v>
      </c>
    </row>
  </sheetData>
  <sheetProtection/>
  <mergeCells count="10">
    <mergeCell ref="I10:M10"/>
    <mergeCell ref="A31:M31"/>
    <mergeCell ref="A58:M58"/>
    <mergeCell ref="E60:J60"/>
    <mergeCell ref="A1:M1"/>
    <mergeCell ref="A2:M2"/>
    <mergeCell ref="A3:M3"/>
    <mergeCell ref="A4:M4"/>
    <mergeCell ref="A5:M5"/>
    <mergeCell ref="A8:M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7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7">
      <selection activeCell="F27" sqref="F27:G27"/>
    </sheetView>
  </sheetViews>
  <sheetFormatPr defaultColWidth="9.140625" defaultRowHeight="12.75"/>
  <cols>
    <col min="1" max="1" width="9.28125" style="3" customWidth="1"/>
    <col min="2" max="2" width="14.140625" style="16" customWidth="1"/>
    <col min="3" max="3" width="13.57421875" style="16" customWidth="1"/>
    <col min="4" max="4" width="14.140625" style="16" customWidth="1"/>
    <col min="5" max="5" width="12.7109375" style="16" customWidth="1"/>
    <col min="6" max="6" width="8.57421875" style="17" customWidth="1"/>
    <col min="7" max="7" width="9.57421875" style="16" customWidth="1"/>
    <col min="8" max="8" width="1.421875" style="16" customWidth="1"/>
    <col min="9" max="9" width="13.00390625" style="16" customWidth="1"/>
    <col min="10" max="10" width="12.7109375" style="16" customWidth="1"/>
    <col min="11" max="12" width="12.8515625" style="16" bestFit="1" customWidth="1"/>
    <col min="13" max="13" width="11.28125" style="16" customWidth="1"/>
    <col min="14" max="14" width="12.7109375" style="0" customWidth="1"/>
  </cols>
  <sheetData>
    <row r="1" spans="1:13" ht="18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5.75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1" customFormat="1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  <c r="M7" s="5"/>
    </row>
    <row r="8" spans="1:13" s="7" customFormat="1" ht="14.25" customHeight="1">
      <c r="A8" s="112" t="s">
        <v>61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  <c r="M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1" t="s">
        <v>0</v>
      </c>
      <c r="J10" s="111"/>
      <c r="K10" s="111"/>
      <c r="L10" s="111"/>
      <c r="M10" s="111"/>
    </row>
    <row r="11" spans="1:13" s="1" customFormat="1" ht="12.75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36</v>
      </c>
      <c r="K12" s="10" t="s">
        <v>5</v>
      </c>
      <c r="L12" s="10" t="s">
        <v>37</v>
      </c>
      <c r="M12" s="10" t="s">
        <v>24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38</v>
      </c>
      <c r="M13" s="8" t="s">
        <v>25</v>
      </c>
    </row>
    <row r="15" spans="1:13" ht="12.75">
      <c r="A15" s="3">
        <v>42826</v>
      </c>
      <c r="B15" s="16">
        <v>95141952.11000001</v>
      </c>
      <c r="C15" s="16">
        <v>0</v>
      </c>
      <c r="D15" s="16">
        <f aca="true" t="shared" si="0" ref="D15:D26">+B15-C15-E15</f>
        <v>88139821.85000001</v>
      </c>
      <c r="E15" s="16">
        <v>7002130.260000001</v>
      </c>
      <c r="F15" s="17">
        <v>300</v>
      </c>
      <c r="G15" s="16">
        <f>+E15/F15/30</f>
        <v>778.0144733333334</v>
      </c>
      <c r="I15" s="16">
        <v>3150958.64</v>
      </c>
      <c r="J15" s="16">
        <v>2450745.6049999995</v>
      </c>
      <c r="K15" s="16">
        <v>700213.03</v>
      </c>
      <c r="L15" s="16">
        <v>700213.04</v>
      </c>
      <c r="M15" s="16">
        <v>0</v>
      </c>
    </row>
    <row r="16" spans="1:13" ht="12.75">
      <c r="A16" s="3">
        <v>42856</v>
      </c>
      <c r="B16" s="16">
        <v>157744793.07000002</v>
      </c>
      <c r="C16" s="16">
        <v>0</v>
      </c>
      <c r="D16" s="16">
        <f t="shared" si="0"/>
        <v>147133914.74</v>
      </c>
      <c r="E16" s="16">
        <v>10610878.330000002</v>
      </c>
      <c r="F16" s="17">
        <v>815.0645161290323</v>
      </c>
      <c r="G16" s="16">
        <f>+E16/F16/31</f>
        <v>419.95006648988806</v>
      </c>
      <c r="I16" s="16">
        <v>4774895.250000001</v>
      </c>
      <c r="J16" s="16">
        <v>3713807.409999999</v>
      </c>
      <c r="K16" s="16">
        <v>1061087.82</v>
      </c>
      <c r="L16" s="16">
        <v>1061087.82</v>
      </c>
      <c r="M16" s="16">
        <v>0</v>
      </c>
    </row>
    <row r="17" spans="1:13" ht="12.75">
      <c r="A17" s="3">
        <v>42887</v>
      </c>
      <c r="B17" s="16">
        <v>169287911.82</v>
      </c>
      <c r="C17" s="16">
        <v>7950</v>
      </c>
      <c r="D17" s="16">
        <f t="shared" si="0"/>
        <v>157901330.5</v>
      </c>
      <c r="E17" s="16">
        <v>11378631.320000002</v>
      </c>
      <c r="F17" s="17">
        <v>1000</v>
      </c>
      <c r="G17" s="16">
        <f>+E17/F17/30</f>
        <v>379.2877106666667</v>
      </c>
      <c r="I17" s="16">
        <v>5120384.09</v>
      </c>
      <c r="J17" s="16">
        <v>3982520.96</v>
      </c>
      <c r="K17" s="16">
        <v>1137863.1300000001</v>
      </c>
      <c r="L17" s="16">
        <v>1137863.1300000001</v>
      </c>
      <c r="M17" s="16">
        <v>0</v>
      </c>
    </row>
    <row r="18" spans="1:13" ht="12.75">
      <c r="A18" s="3">
        <v>42917</v>
      </c>
      <c r="B18" s="16">
        <v>209976915.87000003</v>
      </c>
      <c r="C18" s="16">
        <v>287327.96</v>
      </c>
      <c r="D18" s="16">
        <f t="shared" si="0"/>
        <v>196443021.35900003</v>
      </c>
      <c r="E18" s="16">
        <v>13246566.550999999</v>
      </c>
      <c r="F18" s="17">
        <v>1000</v>
      </c>
      <c r="G18" s="16">
        <v>427</v>
      </c>
      <c r="I18" s="16">
        <v>5960954.9399999995</v>
      </c>
      <c r="J18" s="16">
        <v>4636298.279999999</v>
      </c>
      <c r="K18" s="16">
        <v>1324656.6699999997</v>
      </c>
      <c r="L18" s="16">
        <v>1324656.6699999997</v>
      </c>
      <c r="M18" s="16">
        <v>0</v>
      </c>
    </row>
    <row r="19" spans="1:13" ht="12.75">
      <c r="A19" s="3">
        <v>42948</v>
      </c>
      <c r="B19" s="16">
        <v>219140475.19000003</v>
      </c>
      <c r="C19" s="16">
        <v>406031.04</v>
      </c>
      <c r="D19" s="16">
        <f t="shared" si="0"/>
        <v>204558788.76000005</v>
      </c>
      <c r="E19" s="16">
        <v>14175655.389999999</v>
      </c>
      <c r="F19" s="17">
        <f>31000/31</f>
        <v>1000</v>
      </c>
      <c r="G19" s="16">
        <v>457</v>
      </c>
      <c r="H19" s="16">
        <v>6379045</v>
      </c>
      <c r="I19" s="16">
        <v>6379044.930000001</v>
      </c>
      <c r="J19" s="16">
        <v>4961479.359999999</v>
      </c>
      <c r="K19" s="16">
        <v>1417565.5300000003</v>
      </c>
      <c r="L19" s="16">
        <v>1417565.5400000003</v>
      </c>
      <c r="M19" s="16">
        <v>0</v>
      </c>
    </row>
    <row r="20" spans="1:13" ht="12.75">
      <c r="A20" s="3">
        <v>42979</v>
      </c>
      <c r="B20" s="16">
        <v>217762261.18999997</v>
      </c>
      <c r="C20" s="16">
        <v>343086.31999999995</v>
      </c>
      <c r="D20" s="16">
        <f t="shared" si="0"/>
        <v>203803974.69999996</v>
      </c>
      <c r="E20" s="16">
        <v>13615200.170000004</v>
      </c>
      <c r="F20" s="17">
        <f>30000/30</f>
        <v>1000</v>
      </c>
      <c r="G20" s="16">
        <f>+E20/F20/30</f>
        <v>453.8400056666668</v>
      </c>
      <c r="I20" s="16">
        <v>6126840.080000001</v>
      </c>
      <c r="J20" s="16">
        <v>4765320.05</v>
      </c>
      <c r="K20" s="16">
        <v>1361520.03</v>
      </c>
      <c r="L20" s="16">
        <v>1361520.03</v>
      </c>
      <c r="M20" s="16">
        <v>0</v>
      </c>
    </row>
    <row r="21" spans="1:13" ht="12.75">
      <c r="A21" s="3">
        <v>43009</v>
      </c>
      <c r="B21" s="16">
        <v>227434278.17</v>
      </c>
      <c r="C21" s="16">
        <v>611998.66</v>
      </c>
      <c r="D21" s="16">
        <f t="shared" si="0"/>
        <v>213013105.86999997</v>
      </c>
      <c r="E21" s="16">
        <v>13809173.640000004</v>
      </c>
      <c r="F21" s="17">
        <f>31000/31</f>
        <v>1000</v>
      </c>
      <c r="G21" s="16">
        <f>+E21/F21/31</f>
        <v>445.4572141935485</v>
      </c>
      <c r="I21" s="16">
        <v>6214128.14</v>
      </c>
      <c r="J21" s="16">
        <v>4833210.759999999</v>
      </c>
      <c r="K21" s="16">
        <v>1380917.3800000001</v>
      </c>
      <c r="L21" s="16">
        <v>1380917.3900000001</v>
      </c>
      <c r="M21" s="16">
        <v>0</v>
      </c>
    </row>
    <row r="22" spans="1:13" ht="12.75">
      <c r="A22" s="3">
        <v>43040</v>
      </c>
      <c r="B22" s="16">
        <v>220215321.4</v>
      </c>
      <c r="C22" s="16">
        <v>722586.5099999999</v>
      </c>
      <c r="D22" s="16">
        <f t="shared" si="0"/>
        <v>206095952.55</v>
      </c>
      <c r="E22" s="16">
        <v>13396782.340000005</v>
      </c>
      <c r="F22" s="17">
        <f>30000/30</f>
        <v>1000</v>
      </c>
      <c r="G22" s="16">
        <f>+E22/F22/30</f>
        <v>446.5594113333335</v>
      </c>
      <c r="I22" s="16">
        <v>6028552.07</v>
      </c>
      <c r="J22" s="16">
        <v>4688873.8100000005</v>
      </c>
      <c r="K22" s="16">
        <v>1339678.2600000002</v>
      </c>
      <c r="L22" s="16">
        <v>1339678.2800000003</v>
      </c>
      <c r="M22" s="16">
        <v>0</v>
      </c>
    </row>
    <row r="23" spans="1:13" ht="12.75">
      <c r="A23" s="3">
        <v>43070</v>
      </c>
      <c r="B23" s="16">
        <v>241922401.5</v>
      </c>
      <c r="C23" s="16">
        <v>1326888.2800000003</v>
      </c>
      <c r="D23" s="16">
        <f t="shared" si="0"/>
        <v>226781972.42000002</v>
      </c>
      <c r="E23" s="16">
        <v>13813540.799999997</v>
      </c>
      <c r="F23" s="17">
        <f>31000/31</f>
        <v>1000</v>
      </c>
      <c r="G23" s="16">
        <f>+E23/F23/31</f>
        <v>445.59809032258056</v>
      </c>
      <c r="I23" s="16">
        <v>6216093.34</v>
      </c>
      <c r="J23" s="16">
        <v>4834739.289999999</v>
      </c>
      <c r="K23" s="16">
        <v>1381354.1</v>
      </c>
      <c r="L23" s="16">
        <v>1381354.1</v>
      </c>
      <c r="M23" s="16">
        <v>0</v>
      </c>
    </row>
    <row r="24" spans="1:13" ht="12.75">
      <c r="A24" s="3">
        <v>43101</v>
      </c>
      <c r="B24" s="16">
        <v>242681722.41</v>
      </c>
      <c r="C24" s="16">
        <v>702123.4999999999</v>
      </c>
      <c r="D24" s="16">
        <f t="shared" si="0"/>
        <v>227147438.37</v>
      </c>
      <c r="E24" s="16">
        <v>14832160.54</v>
      </c>
      <c r="F24" s="17">
        <f>31000/31</f>
        <v>1000</v>
      </c>
      <c r="G24" s="16">
        <f>+E24/F24/31</f>
        <v>478.4567916129032</v>
      </c>
      <c r="I24" s="16">
        <v>6674472.260000001</v>
      </c>
      <c r="J24" s="16">
        <v>5191256.18</v>
      </c>
      <c r="K24" s="16">
        <v>1483216.0699999998</v>
      </c>
      <c r="L24" s="16">
        <v>1483216.0699999998</v>
      </c>
      <c r="M24" s="16">
        <v>0</v>
      </c>
    </row>
    <row r="25" spans="1:13" ht="12.75">
      <c r="A25" s="3">
        <v>43132</v>
      </c>
      <c r="B25" s="16">
        <v>249771206.11</v>
      </c>
      <c r="C25" s="16">
        <v>645672.1599999999</v>
      </c>
      <c r="D25" s="16">
        <f t="shared" si="0"/>
        <v>233940710.50000003</v>
      </c>
      <c r="E25" s="16">
        <v>15184823.449999997</v>
      </c>
      <c r="F25" s="17">
        <f>28000/28</f>
        <v>1000</v>
      </c>
      <c r="G25" s="16">
        <f>+E25/F25/28</f>
        <v>542.3151232142857</v>
      </c>
      <c r="I25" s="16">
        <v>6833170.56</v>
      </c>
      <c r="J25" s="16">
        <v>5314688.210000001</v>
      </c>
      <c r="K25" s="16">
        <v>1518482.3500000003</v>
      </c>
      <c r="L25" s="16">
        <v>1518482.3500000003</v>
      </c>
      <c r="M25" s="16">
        <v>0</v>
      </c>
    </row>
    <row r="26" spans="1:13" ht="12.75">
      <c r="A26" s="3">
        <v>43160</v>
      </c>
      <c r="B26" s="16">
        <v>283011691.05</v>
      </c>
      <c r="C26" s="16">
        <v>678365.4100000001</v>
      </c>
      <c r="D26" s="16">
        <f t="shared" si="0"/>
        <v>265134344.6</v>
      </c>
      <c r="E26" s="16">
        <v>17198981.04</v>
      </c>
      <c r="F26" s="17">
        <f>31000/31</f>
        <v>1000</v>
      </c>
      <c r="G26" s="16">
        <f>+E26/F26/31</f>
        <v>554.80584</v>
      </c>
      <c r="I26" s="16">
        <v>7739541.460000002</v>
      </c>
      <c r="J26" s="16">
        <v>6019643.339999999</v>
      </c>
      <c r="K26" s="16">
        <v>1719898.09</v>
      </c>
      <c r="L26" s="16">
        <v>1719898.12</v>
      </c>
      <c r="M26" s="16">
        <v>0</v>
      </c>
    </row>
    <row r="27" spans="1:13" ht="13.5" thickBot="1">
      <c r="A27" s="52" t="s">
        <v>15</v>
      </c>
      <c r="B27" s="53">
        <f>SUM(B15:B26)</f>
        <v>2534090929.8900003</v>
      </c>
      <c r="C27" s="53">
        <f>SUM(C15:C26)</f>
        <v>5732029.84</v>
      </c>
      <c r="D27" s="53">
        <f>SUM(D15:D26)</f>
        <v>2370094376.219</v>
      </c>
      <c r="E27" s="53">
        <f>SUM(E15:E26)</f>
        <v>158264523.831</v>
      </c>
      <c r="F27" s="54">
        <f>AVERAGE(F15:F26)</f>
        <v>926.255376344086</v>
      </c>
      <c r="G27" s="53">
        <f>AVERAGE(G15:G26)</f>
        <v>485.69039390276725</v>
      </c>
      <c r="H27" s="55"/>
      <c r="I27" s="53">
        <f>SUM(I15:I26)</f>
        <v>71219035.76</v>
      </c>
      <c r="J27" s="53">
        <f>SUM(J15:J26)</f>
        <v>55392583.25499999</v>
      </c>
      <c r="K27" s="53">
        <f>SUM(K15:K26)</f>
        <v>15826452.46</v>
      </c>
      <c r="L27" s="53">
        <f>SUM(L15:L26)</f>
        <v>15826452.540000003</v>
      </c>
      <c r="M27" s="53">
        <f>SUM(M15:M26)</f>
        <v>0</v>
      </c>
    </row>
    <row r="28" spans="2:13" ht="10.5" customHeight="1" thickTop="1">
      <c r="B28" s="18"/>
      <c r="C28" s="18"/>
      <c r="D28" s="18"/>
      <c r="E28" s="18"/>
      <c r="I28" s="18"/>
      <c r="J28" s="18"/>
      <c r="K28" s="18"/>
      <c r="L28" s="18"/>
      <c r="M28" s="18"/>
    </row>
    <row r="29" spans="1:13" s="21" customFormat="1" ht="12.75">
      <c r="A29" s="19"/>
      <c r="B29" s="20"/>
      <c r="C29" s="20">
        <f>C27/B27</f>
        <v>0.002261966913811106</v>
      </c>
      <c r="D29" s="20">
        <f>D27/B27</f>
        <v>0.9352838717282654</v>
      </c>
      <c r="E29" s="20">
        <f>E27/B27</f>
        <v>0.06245416135792331</v>
      </c>
      <c r="I29" s="20">
        <f>I27/$E$27</f>
        <v>0.45000000022778325</v>
      </c>
      <c r="J29" s="20">
        <f>J27/$E$27</f>
        <v>0.34999999945755367</v>
      </c>
      <c r="K29" s="20">
        <f>K27/$E$27</f>
        <v>0.10000000048589539</v>
      </c>
      <c r="L29" s="20">
        <f>L27/$E$27</f>
        <v>0.10000000099137822</v>
      </c>
      <c r="M29" s="20">
        <f>M27/$E$27</f>
        <v>0</v>
      </c>
    </row>
    <row r="31" spans="1:13" s="22" customFormat="1" ht="12.75">
      <c r="A31" s="112" t="s">
        <v>16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ht="12.75">
      <c r="A32" s="23"/>
    </row>
    <row r="33" spans="1:12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3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24" t="s">
        <v>49</v>
      </c>
      <c r="B36" s="25"/>
      <c r="C36" s="25" t="s">
        <v>42</v>
      </c>
      <c r="F36" s="25"/>
      <c r="G36" s="25"/>
      <c r="H36" s="25"/>
      <c r="I36" s="25"/>
      <c r="J36" s="25"/>
      <c r="K36" s="25"/>
      <c r="L36" s="25"/>
      <c r="M36" s="25"/>
    </row>
    <row r="37" spans="1:13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  <c r="L37" s="35"/>
      <c r="M37" s="35"/>
    </row>
    <row r="38" spans="1:13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  <c r="L38" s="35"/>
      <c r="M38" s="35"/>
    </row>
    <row r="39" spans="1:13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  <c r="L39" s="35"/>
      <c r="M39" s="35"/>
    </row>
    <row r="40" spans="1:13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  <c r="L40" s="35"/>
      <c r="M40" s="35"/>
    </row>
    <row r="41" spans="1:13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  <c r="L41" s="35"/>
      <c r="M41" s="35"/>
    </row>
    <row r="42" spans="1:13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  <c r="L42" s="35"/>
      <c r="M42" s="35"/>
    </row>
    <row r="43" spans="1:13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  <c r="L43" s="35"/>
      <c r="M43" s="35"/>
    </row>
    <row r="44" spans="1:13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  <c r="L44" s="35"/>
      <c r="M44" s="35"/>
    </row>
    <row r="45" spans="1:12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  <c r="L45" s="35"/>
    </row>
    <row r="46" spans="1:12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  <c r="L46" s="35"/>
    </row>
    <row r="47" spans="1:12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  <c r="L47" s="35"/>
    </row>
    <row r="48" spans="1:13" s="38" customFormat="1" ht="6" customHeight="1">
      <c r="A48" s="34"/>
      <c r="B48" s="35"/>
      <c r="C48" s="35"/>
      <c r="D48" s="35"/>
      <c r="E48" s="39"/>
      <c r="F48" s="40"/>
      <c r="G48" s="35"/>
      <c r="H48" s="35"/>
      <c r="I48" s="35"/>
      <c r="J48" s="35"/>
      <c r="K48" s="35"/>
      <c r="L48" s="35"/>
      <c r="M48" s="35"/>
    </row>
    <row r="49" spans="1:12" s="38" customFormat="1" ht="12.75">
      <c r="A49" s="34" t="s">
        <v>22</v>
      </c>
      <c r="B49" s="35"/>
      <c r="C49" s="35" t="s">
        <v>30</v>
      </c>
      <c r="D49" s="39"/>
      <c r="E49" s="40"/>
      <c r="F49" s="35"/>
      <c r="G49" s="35"/>
      <c r="H49" s="35"/>
      <c r="I49" s="35"/>
      <c r="J49" s="35"/>
      <c r="K49" s="35"/>
      <c r="L49" s="35"/>
    </row>
    <row r="50" spans="1:12" s="38" customFormat="1" ht="12.75">
      <c r="A50" s="34"/>
      <c r="B50" s="35"/>
      <c r="C50" s="35" t="s">
        <v>31</v>
      </c>
      <c r="D50" s="39"/>
      <c r="E50" s="40"/>
      <c r="F50" s="35"/>
      <c r="G50" s="35"/>
      <c r="H50" s="35"/>
      <c r="I50" s="35"/>
      <c r="J50" s="35"/>
      <c r="K50" s="35"/>
      <c r="L50" s="35"/>
    </row>
    <row r="51" spans="1:13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  <c r="L51" s="35"/>
      <c r="M51" s="35"/>
    </row>
    <row r="52" spans="1:12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  <c r="L52" s="35"/>
    </row>
    <row r="53" spans="1:12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  <c r="L53" s="35"/>
    </row>
    <row r="54" spans="1:13" s="38" customFormat="1" ht="6" customHeight="1">
      <c r="A54" s="42"/>
      <c r="B54" s="43"/>
      <c r="C54" s="43"/>
      <c r="E54" s="43"/>
      <c r="F54" s="44"/>
      <c r="G54" s="43"/>
      <c r="H54" s="43"/>
      <c r="I54" s="43"/>
      <c r="J54" s="43"/>
      <c r="K54" s="43"/>
      <c r="L54" s="43"/>
      <c r="M54" s="43"/>
    </row>
    <row r="55" spans="1:13" s="38" customFormat="1" ht="12.75">
      <c r="A55" s="34" t="s">
        <v>26</v>
      </c>
      <c r="B55" s="35"/>
      <c r="C55" s="35" t="s">
        <v>56</v>
      </c>
      <c r="E55" s="39"/>
      <c r="F55" s="40"/>
      <c r="G55" s="35"/>
      <c r="H55" s="35"/>
      <c r="I55" s="35"/>
      <c r="J55" s="35"/>
      <c r="K55" s="35"/>
      <c r="L55" s="35"/>
      <c r="M55" s="39"/>
    </row>
    <row r="56" spans="1:13" s="38" customFormat="1" ht="12.75">
      <c r="A56" s="41"/>
      <c r="B56" s="35"/>
      <c r="C56" s="35"/>
      <c r="E56" s="39"/>
      <c r="F56" s="40"/>
      <c r="G56" s="35"/>
      <c r="H56" s="35"/>
      <c r="I56" s="35"/>
      <c r="J56" s="35"/>
      <c r="K56" s="35"/>
      <c r="L56" s="35"/>
      <c r="M56" s="39"/>
    </row>
    <row r="57" spans="1:12" ht="12.75">
      <c r="A57" s="27"/>
      <c r="B57" s="25"/>
      <c r="C57" s="25"/>
      <c r="D57" s="25"/>
      <c r="F57" s="26"/>
      <c r="G57" s="25"/>
      <c r="H57" s="25"/>
      <c r="I57" s="25"/>
      <c r="J57" s="25"/>
      <c r="K57" s="25"/>
      <c r="L57" s="25"/>
    </row>
    <row r="58" spans="1:13" ht="12.75">
      <c r="A58" s="112" t="s">
        <v>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4"/>
    </row>
    <row r="59" ht="12.75">
      <c r="A59" s="23"/>
    </row>
    <row r="60" spans="1:14" ht="13.5">
      <c r="A60" s="28"/>
      <c r="D60" s="10" t="s">
        <v>4</v>
      </c>
      <c r="E60" s="111" t="s">
        <v>46</v>
      </c>
      <c r="F60" s="111"/>
      <c r="G60" s="111"/>
      <c r="H60" s="111"/>
      <c r="I60" s="111"/>
      <c r="J60" s="111"/>
      <c r="K60" s="10" t="s">
        <v>5</v>
      </c>
      <c r="L60" s="45" t="s">
        <v>37</v>
      </c>
      <c r="M60" s="10" t="s">
        <v>24</v>
      </c>
      <c r="N60" s="15"/>
    </row>
    <row r="61" spans="1:14" ht="12.75">
      <c r="A61" s="29"/>
      <c r="D61" s="8" t="s">
        <v>12</v>
      </c>
      <c r="E61" s="8" t="s">
        <v>43</v>
      </c>
      <c r="F61" s="49" t="s">
        <v>44</v>
      </c>
      <c r="G61" s="8" t="s">
        <v>45</v>
      </c>
      <c r="H61" s="30"/>
      <c r="I61" s="8" t="s">
        <v>54</v>
      </c>
      <c r="J61" s="49" t="s">
        <v>55</v>
      </c>
      <c r="K61" s="8" t="s">
        <v>14</v>
      </c>
      <c r="L61" s="46" t="s">
        <v>38</v>
      </c>
      <c r="M61" s="8" t="s">
        <v>25</v>
      </c>
      <c r="N61" s="15"/>
    </row>
    <row r="62" spans="2:14" ht="12.75">
      <c r="B62" s="31"/>
      <c r="C62" s="31"/>
      <c r="D62" s="31"/>
      <c r="E62" s="47"/>
      <c r="F62" s="47"/>
      <c r="G62" s="50"/>
      <c r="H62" s="48"/>
      <c r="I62" s="47"/>
      <c r="J62" s="47"/>
      <c r="K62" s="47"/>
      <c r="L62" s="47"/>
      <c r="M62" s="33"/>
      <c r="N62" s="51"/>
    </row>
    <row r="63" spans="2:14" ht="12.75">
      <c r="B63" s="31" t="s">
        <v>53</v>
      </c>
      <c r="C63" s="31"/>
      <c r="D63" s="47">
        <v>0.45</v>
      </c>
      <c r="E63" s="47">
        <v>0.3</v>
      </c>
      <c r="F63" s="47">
        <v>0.023</v>
      </c>
      <c r="G63" s="50">
        <v>0.005</v>
      </c>
      <c r="H63" s="48"/>
      <c r="I63" s="67">
        <v>0.009</v>
      </c>
      <c r="J63" s="67">
        <v>0.013</v>
      </c>
      <c r="K63" s="47">
        <v>0.1</v>
      </c>
      <c r="L63" s="47">
        <v>0.1</v>
      </c>
      <c r="M63" s="33">
        <v>0</v>
      </c>
      <c r="N63" s="51"/>
    </row>
    <row r="64" spans="1:13" s="22" customFormat="1" ht="12.75">
      <c r="A64" s="3"/>
      <c r="B64" s="31"/>
      <c r="C64" s="31"/>
      <c r="D64" s="31"/>
      <c r="E64" s="47"/>
      <c r="F64" s="47"/>
      <c r="G64" s="50"/>
      <c r="H64" s="48"/>
      <c r="I64" s="47"/>
      <c r="J64" s="47"/>
      <c r="K64" s="47"/>
      <c r="L64" s="47"/>
      <c r="M64" s="33"/>
    </row>
    <row r="65" spans="1:13" s="22" customFormat="1" ht="12.75">
      <c r="A65" s="3"/>
      <c r="B65" s="31"/>
      <c r="C65" s="31"/>
      <c r="D65" s="31"/>
      <c r="E65" s="25"/>
      <c r="F65" s="26"/>
      <c r="G65" s="32"/>
      <c r="H65" s="25"/>
      <c r="I65" s="32"/>
      <c r="J65" s="32"/>
      <c r="K65" s="32"/>
      <c r="L65" s="32"/>
      <c r="M65" s="33"/>
    </row>
    <row r="66" ht="12.75">
      <c r="A66" s="27" t="s">
        <v>50</v>
      </c>
    </row>
  </sheetData>
  <sheetProtection/>
  <mergeCells count="10">
    <mergeCell ref="I10:M10"/>
    <mergeCell ref="A31:M31"/>
    <mergeCell ref="A58:M58"/>
    <mergeCell ref="E60:J60"/>
    <mergeCell ref="A1:M1"/>
    <mergeCell ref="A2:M2"/>
    <mergeCell ref="A3:M3"/>
    <mergeCell ref="A4:M4"/>
    <mergeCell ref="A5:M5"/>
    <mergeCell ref="A8:M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7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37">
      <selection activeCell="A62" sqref="A62"/>
    </sheetView>
  </sheetViews>
  <sheetFormatPr defaultColWidth="9.140625" defaultRowHeight="12.75"/>
  <cols>
    <col min="1" max="1" width="9.28125" style="3" customWidth="1"/>
    <col min="2" max="2" width="14.140625" style="16" customWidth="1"/>
    <col min="3" max="3" width="13.57421875" style="16" customWidth="1"/>
    <col min="4" max="4" width="14.140625" style="16" customWidth="1"/>
    <col min="5" max="5" width="12.7109375" style="16" customWidth="1"/>
    <col min="6" max="6" width="8.57421875" style="17" customWidth="1"/>
    <col min="7" max="7" width="9.57421875" style="16" customWidth="1"/>
    <col min="8" max="8" width="1.421875" style="16" customWidth="1"/>
    <col min="9" max="9" width="13.00390625" style="16" customWidth="1"/>
    <col min="10" max="10" width="12.7109375" style="16" customWidth="1"/>
    <col min="11" max="12" width="12.8515625" style="16" bestFit="1" customWidth="1"/>
    <col min="13" max="13" width="11.28125" style="16" customWidth="1"/>
    <col min="14" max="14" width="12.7109375" style="0" customWidth="1"/>
  </cols>
  <sheetData>
    <row r="1" spans="1:13" ht="18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5.75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14.25" customHeight="1">
      <c r="A4" s="107" t="s">
        <v>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1" customFormat="1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  <c r="M7" s="5"/>
    </row>
    <row r="8" spans="1:13" s="7" customFormat="1" ht="14.25" customHeight="1">
      <c r="A8" s="112" t="s">
        <v>52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  <c r="M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1" t="s">
        <v>0</v>
      </c>
      <c r="J10" s="111"/>
      <c r="K10" s="111"/>
      <c r="L10" s="111"/>
      <c r="M10" s="111"/>
    </row>
    <row r="11" spans="1:13" s="1" customFormat="1" ht="12.75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36</v>
      </c>
      <c r="K12" s="10" t="s">
        <v>5</v>
      </c>
      <c r="L12" s="10" t="s">
        <v>37</v>
      </c>
      <c r="M12" s="10" t="s">
        <v>24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38</v>
      </c>
      <c r="M13" s="8" t="s">
        <v>25</v>
      </c>
    </row>
    <row r="15" ht="12.75">
      <c r="A15" s="3">
        <v>42461</v>
      </c>
    </row>
    <row r="16" ht="12.75">
      <c r="A16" s="3">
        <v>42491</v>
      </c>
    </row>
    <row r="17" ht="12.75">
      <c r="A17" s="3">
        <v>42522</v>
      </c>
    </row>
    <row r="18" ht="12.75">
      <c r="A18" s="3">
        <v>42552</v>
      </c>
    </row>
    <row r="19" ht="12.75">
      <c r="A19" s="3">
        <v>42583</v>
      </c>
    </row>
    <row r="20" ht="12.75">
      <c r="A20" s="3">
        <v>42614</v>
      </c>
    </row>
    <row r="21" ht="12.75">
      <c r="A21" s="3">
        <v>42644</v>
      </c>
    </row>
    <row r="22" ht="12.75">
      <c r="A22" s="3">
        <v>42675</v>
      </c>
    </row>
    <row r="23" ht="12.75">
      <c r="A23" s="3">
        <v>42705</v>
      </c>
    </row>
    <row r="24" ht="12.75">
      <c r="A24" s="3">
        <v>42736</v>
      </c>
    </row>
    <row r="25" spans="1:13" ht="12.75">
      <c r="A25" s="3">
        <v>42767</v>
      </c>
      <c r="B25" s="16">
        <v>5337308.74</v>
      </c>
      <c r="C25" s="16">
        <v>0</v>
      </c>
      <c r="D25" s="16">
        <f>+B25-C25-E25</f>
        <v>4924225.16</v>
      </c>
      <c r="E25" s="16">
        <v>413083.58</v>
      </c>
      <c r="F25" s="17">
        <v>265</v>
      </c>
      <c r="G25" s="16">
        <v>779</v>
      </c>
      <c r="I25" s="16">
        <v>185887.62</v>
      </c>
      <c r="J25" s="16">
        <v>144579.26</v>
      </c>
      <c r="K25" s="16">
        <v>41308.36</v>
      </c>
      <c r="L25" s="16">
        <v>41308.36</v>
      </c>
      <c r="M25" s="16">
        <v>0</v>
      </c>
    </row>
    <row r="26" spans="1:13" ht="12.75">
      <c r="A26" s="3">
        <v>42795</v>
      </c>
      <c r="B26" s="16">
        <v>93894467.27</v>
      </c>
      <c r="C26" s="16">
        <v>0</v>
      </c>
      <c r="D26" s="16">
        <f>+B26-C26-E26</f>
        <v>86864892.33</v>
      </c>
      <c r="E26" s="16">
        <v>7029574.94</v>
      </c>
      <c r="F26" s="17">
        <v>290</v>
      </c>
      <c r="G26" s="16">
        <v>782</v>
      </c>
      <c r="I26" s="16">
        <v>3163308.75</v>
      </c>
      <c r="J26" s="16">
        <v>2460351.21</v>
      </c>
      <c r="K26" s="16">
        <v>702957.5</v>
      </c>
      <c r="L26" s="16">
        <v>702957.52</v>
      </c>
      <c r="M26" s="16">
        <v>0</v>
      </c>
    </row>
    <row r="27" spans="1:13" ht="13.5" thickBot="1">
      <c r="A27" s="52" t="s">
        <v>15</v>
      </c>
      <c r="B27" s="53">
        <f>SUM(B15:B26)</f>
        <v>99231776.00999999</v>
      </c>
      <c r="C27" s="53">
        <f>SUM(C15:C26)</f>
        <v>0</v>
      </c>
      <c r="D27" s="53">
        <f>SUM(D15:D26)</f>
        <v>91789117.49</v>
      </c>
      <c r="E27" s="53">
        <f>SUM(E15:E26)</f>
        <v>7442658.5200000005</v>
      </c>
      <c r="F27" s="54">
        <f>AVERAGE(F25:F26)</f>
        <v>277.5</v>
      </c>
      <c r="G27" s="53">
        <f>AVERAGE(G25:G26)</f>
        <v>780.5</v>
      </c>
      <c r="H27" s="55"/>
      <c r="I27" s="53">
        <f>SUM(I15:I26)</f>
        <v>3349196.37</v>
      </c>
      <c r="J27" s="53">
        <f>SUM(J15:J26)</f>
        <v>2604930.4699999997</v>
      </c>
      <c r="K27" s="53">
        <f>SUM(K15:K26)</f>
        <v>744265.86</v>
      </c>
      <c r="L27" s="53">
        <f>SUM(L15:L26)</f>
        <v>744265.88</v>
      </c>
      <c r="M27" s="53">
        <f>SUM(M15:M26)</f>
        <v>0</v>
      </c>
    </row>
    <row r="28" spans="2:13" ht="10.5" customHeight="1" thickTop="1">
      <c r="B28" s="18"/>
      <c r="C28" s="18"/>
      <c r="D28" s="18"/>
      <c r="E28" s="18"/>
      <c r="I28" s="18"/>
      <c r="J28" s="18"/>
      <c r="K28" s="18"/>
      <c r="L28" s="18"/>
      <c r="M28" s="18"/>
    </row>
    <row r="29" spans="1:13" s="21" customFormat="1" ht="12.75">
      <c r="A29" s="19"/>
      <c r="B29" s="20"/>
      <c r="C29" s="20">
        <f>C27/B27</f>
        <v>0</v>
      </c>
      <c r="D29" s="20">
        <f>D27/B27</f>
        <v>0.9249972254930722</v>
      </c>
      <c r="E29" s="20">
        <f>E27/B27</f>
        <v>0.07500277450692784</v>
      </c>
      <c r="I29" s="20">
        <f>I27/$E$27</f>
        <v>0.45000000483698127</v>
      </c>
      <c r="J29" s="20">
        <f>J27/$E$27</f>
        <v>0.3499999983876729</v>
      </c>
      <c r="K29" s="20">
        <f>K27/$E$27</f>
        <v>0.10000000107488473</v>
      </c>
      <c r="L29" s="20">
        <f>L27/$E$27</f>
        <v>0.10000000376209656</v>
      </c>
      <c r="M29" s="20">
        <f>M27/$E$27</f>
        <v>0</v>
      </c>
    </row>
    <row r="31" spans="1:13" s="22" customFormat="1" ht="12.75">
      <c r="A31" s="112" t="s">
        <v>16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ht="12.75">
      <c r="A32" s="23"/>
    </row>
    <row r="33" spans="1:12" s="38" customFormat="1" ht="12.75" customHeight="1">
      <c r="A33" s="34" t="s">
        <v>17</v>
      </c>
      <c r="B33" s="35"/>
      <c r="C33" s="36" t="s">
        <v>47</v>
      </c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8" customFormat="1" ht="12.75" customHeight="1">
      <c r="A34" s="34"/>
      <c r="B34" s="35"/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3" s="38" customFormat="1" ht="6" customHeight="1">
      <c r="A35" s="34"/>
      <c r="B35" s="35"/>
      <c r="C35" s="3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2.75">
      <c r="A36" s="24" t="s">
        <v>49</v>
      </c>
      <c r="B36" s="25"/>
      <c r="C36" s="25" t="s">
        <v>42</v>
      </c>
      <c r="F36" s="25"/>
      <c r="G36" s="25"/>
      <c r="H36" s="25"/>
      <c r="I36" s="25"/>
      <c r="J36" s="25"/>
      <c r="K36" s="25"/>
      <c r="L36" s="25"/>
      <c r="M36" s="25"/>
    </row>
    <row r="37" spans="1:13" s="38" customFormat="1" ht="6" customHeight="1">
      <c r="A37" s="34"/>
      <c r="B37" s="35"/>
      <c r="C37" s="36"/>
      <c r="E37" s="39"/>
      <c r="F37" s="36"/>
      <c r="G37" s="36"/>
      <c r="H37" s="36"/>
      <c r="I37" s="36"/>
      <c r="J37" s="35"/>
      <c r="K37" s="35"/>
      <c r="L37" s="35"/>
      <c r="M37" s="35"/>
    </row>
    <row r="38" spans="1:13" s="38" customFormat="1" ht="12.75">
      <c r="A38" s="34" t="s">
        <v>18</v>
      </c>
      <c r="B38" s="35"/>
      <c r="C38" s="36" t="s">
        <v>51</v>
      </c>
      <c r="E38" s="39"/>
      <c r="F38" s="36"/>
      <c r="G38" s="36"/>
      <c r="H38" s="36"/>
      <c r="I38" s="36"/>
      <c r="J38" s="35"/>
      <c r="K38" s="35"/>
      <c r="L38" s="35"/>
      <c r="M38" s="35"/>
    </row>
    <row r="39" spans="1:13" s="38" customFormat="1" ht="6" customHeight="1">
      <c r="A39" s="34"/>
      <c r="B39" s="35"/>
      <c r="C39" s="36"/>
      <c r="E39" s="39"/>
      <c r="F39" s="36"/>
      <c r="G39" s="36"/>
      <c r="H39" s="36"/>
      <c r="I39" s="36"/>
      <c r="J39" s="35"/>
      <c r="K39" s="35"/>
      <c r="L39" s="35"/>
      <c r="M39" s="35"/>
    </row>
    <row r="40" spans="1:13" s="38" customFormat="1" ht="12.75">
      <c r="A40" s="34" t="s">
        <v>19</v>
      </c>
      <c r="B40" s="35"/>
      <c r="C40" s="35" t="s">
        <v>27</v>
      </c>
      <c r="E40" s="39"/>
      <c r="F40" s="40"/>
      <c r="G40" s="35"/>
      <c r="H40" s="35"/>
      <c r="I40" s="35"/>
      <c r="J40" s="35"/>
      <c r="K40" s="35"/>
      <c r="L40" s="35"/>
      <c r="M40" s="35"/>
    </row>
    <row r="41" spans="1:13" s="38" customFormat="1" ht="12.75">
      <c r="A41" s="34"/>
      <c r="B41" s="35"/>
      <c r="C41" s="35" t="s">
        <v>28</v>
      </c>
      <c r="E41" s="39"/>
      <c r="F41" s="40"/>
      <c r="G41" s="35"/>
      <c r="H41" s="35"/>
      <c r="I41" s="35"/>
      <c r="J41" s="35"/>
      <c r="K41" s="35"/>
      <c r="L41" s="35"/>
      <c r="M41" s="35"/>
    </row>
    <row r="42" spans="1:13" s="38" customFormat="1" ht="6" customHeight="1">
      <c r="A42" s="34"/>
      <c r="B42" s="35"/>
      <c r="C42" s="35"/>
      <c r="E42" s="39"/>
      <c r="F42" s="40"/>
      <c r="G42" s="35"/>
      <c r="H42" s="35"/>
      <c r="I42" s="35"/>
      <c r="J42" s="35"/>
      <c r="K42" s="35"/>
      <c r="L42" s="35"/>
      <c r="M42" s="35"/>
    </row>
    <row r="43" spans="1:13" s="38" customFormat="1" ht="12.75">
      <c r="A43" s="34" t="s">
        <v>20</v>
      </c>
      <c r="B43" s="35"/>
      <c r="C43" s="35" t="s">
        <v>21</v>
      </c>
      <c r="E43" s="39"/>
      <c r="F43" s="40"/>
      <c r="G43" s="35"/>
      <c r="H43" s="35"/>
      <c r="I43" s="35"/>
      <c r="J43" s="35"/>
      <c r="K43" s="35"/>
      <c r="L43" s="35"/>
      <c r="M43" s="35"/>
    </row>
    <row r="44" spans="1:13" s="38" customFormat="1" ht="6" customHeight="1">
      <c r="A44" s="34"/>
      <c r="B44" s="35"/>
      <c r="C44" s="35"/>
      <c r="D44" s="35"/>
      <c r="E44" s="39"/>
      <c r="F44" s="40"/>
      <c r="G44" s="35"/>
      <c r="H44" s="35"/>
      <c r="I44" s="35"/>
      <c r="J44" s="35"/>
      <c r="K44" s="35"/>
      <c r="L44" s="35"/>
      <c r="M44" s="35"/>
    </row>
    <row r="45" spans="1:12" s="38" customFormat="1" ht="12.75">
      <c r="A45" s="34" t="s">
        <v>32</v>
      </c>
      <c r="B45" s="35"/>
      <c r="C45" s="35" t="s">
        <v>33</v>
      </c>
      <c r="D45" s="39"/>
      <c r="E45" s="40"/>
      <c r="F45" s="35"/>
      <c r="G45" s="35"/>
      <c r="H45" s="35"/>
      <c r="I45" s="35"/>
      <c r="J45" s="35"/>
      <c r="K45" s="35"/>
      <c r="L45" s="35"/>
    </row>
    <row r="46" spans="1:12" s="38" customFormat="1" ht="12.75">
      <c r="A46" s="34"/>
      <c r="B46" s="35"/>
      <c r="C46" s="35" t="s">
        <v>39</v>
      </c>
      <c r="D46" s="39"/>
      <c r="E46" s="40"/>
      <c r="F46" s="35"/>
      <c r="G46" s="35"/>
      <c r="H46" s="35"/>
      <c r="I46" s="35"/>
      <c r="J46" s="35"/>
      <c r="K46" s="35"/>
      <c r="L46" s="35"/>
    </row>
    <row r="47" spans="1:12" s="38" customFormat="1" ht="12.75">
      <c r="A47" s="34"/>
      <c r="B47" s="35"/>
      <c r="C47" s="35" t="s">
        <v>40</v>
      </c>
      <c r="D47" s="39"/>
      <c r="E47" s="40"/>
      <c r="F47" s="35"/>
      <c r="G47" s="35"/>
      <c r="H47" s="35"/>
      <c r="I47" s="35"/>
      <c r="J47" s="35"/>
      <c r="K47" s="35"/>
      <c r="L47" s="35"/>
    </row>
    <row r="48" spans="1:13" s="38" customFormat="1" ht="6" customHeight="1">
      <c r="A48" s="34"/>
      <c r="B48" s="35"/>
      <c r="C48" s="35"/>
      <c r="D48" s="35"/>
      <c r="E48" s="39"/>
      <c r="F48" s="40"/>
      <c r="G48" s="35"/>
      <c r="H48" s="35"/>
      <c r="I48" s="35"/>
      <c r="J48" s="35"/>
      <c r="K48" s="35"/>
      <c r="L48" s="35"/>
      <c r="M48" s="35"/>
    </row>
    <row r="49" spans="1:12" s="38" customFormat="1" ht="12.75">
      <c r="A49" s="34" t="s">
        <v>22</v>
      </c>
      <c r="B49" s="35"/>
      <c r="C49" s="35" t="s">
        <v>30</v>
      </c>
      <c r="D49" s="39"/>
      <c r="E49" s="40"/>
      <c r="F49" s="35"/>
      <c r="G49" s="35"/>
      <c r="H49" s="35"/>
      <c r="I49" s="35"/>
      <c r="J49" s="35"/>
      <c r="K49" s="35"/>
      <c r="L49" s="35"/>
    </row>
    <row r="50" spans="1:12" s="38" customFormat="1" ht="12.75">
      <c r="A50" s="34"/>
      <c r="B50" s="35"/>
      <c r="C50" s="35" t="s">
        <v>31</v>
      </c>
      <c r="D50" s="39"/>
      <c r="E50" s="40"/>
      <c r="F50" s="35"/>
      <c r="G50" s="35"/>
      <c r="H50" s="35"/>
      <c r="I50" s="35"/>
      <c r="J50" s="35"/>
      <c r="K50" s="35"/>
      <c r="L50" s="35"/>
    </row>
    <row r="51" spans="1:13" s="38" customFormat="1" ht="6" customHeight="1">
      <c r="A51" s="34"/>
      <c r="B51" s="35"/>
      <c r="C51" s="35"/>
      <c r="D51" s="35"/>
      <c r="E51" s="39"/>
      <c r="F51" s="40"/>
      <c r="G51" s="35"/>
      <c r="H51" s="35"/>
      <c r="I51" s="35"/>
      <c r="J51" s="35"/>
      <c r="K51" s="35"/>
      <c r="L51" s="35"/>
      <c r="M51" s="35"/>
    </row>
    <row r="52" spans="1:12" s="38" customFormat="1" ht="12.75">
      <c r="A52" s="34" t="s">
        <v>41</v>
      </c>
      <c r="B52" s="35"/>
      <c r="C52" s="35" t="s">
        <v>34</v>
      </c>
      <c r="D52" s="39"/>
      <c r="E52" s="40"/>
      <c r="F52" s="35"/>
      <c r="G52" s="35"/>
      <c r="H52" s="35"/>
      <c r="I52" s="35"/>
      <c r="J52" s="35"/>
      <c r="K52" s="35"/>
      <c r="L52" s="35"/>
    </row>
    <row r="53" spans="1:12" s="38" customFormat="1" ht="12.75">
      <c r="A53" s="41"/>
      <c r="B53" s="35"/>
      <c r="C53" s="35" t="s">
        <v>35</v>
      </c>
      <c r="D53" s="39"/>
      <c r="E53" s="40"/>
      <c r="F53" s="35"/>
      <c r="G53" s="35"/>
      <c r="H53" s="35"/>
      <c r="I53" s="35"/>
      <c r="J53" s="35"/>
      <c r="K53" s="35"/>
      <c r="L53" s="35"/>
    </row>
    <row r="54" spans="1:13" s="38" customFormat="1" ht="6" customHeight="1">
      <c r="A54" s="42"/>
      <c r="B54" s="43"/>
      <c r="C54" s="43"/>
      <c r="E54" s="43"/>
      <c r="F54" s="44"/>
      <c r="G54" s="43"/>
      <c r="H54" s="43"/>
      <c r="I54" s="43"/>
      <c r="J54" s="43"/>
      <c r="K54" s="43"/>
      <c r="L54" s="43"/>
      <c r="M54" s="43"/>
    </row>
    <row r="55" spans="1:13" s="38" customFormat="1" ht="12.75">
      <c r="A55" s="34" t="s">
        <v>26</v>
      </c>
      <c r="B55" s="35"/>
      <c r="C55" s="35" t="s">
        <v>56</v>
      </c>
      <c r="E55" s="39"/>
      <c r="F55" s="40"/>
      <c r="G55" s="35"/>
      <c r="H55" s="35"/>
      <c r="I55" s="35"/>
      <c r="J55" s="35"/>
      <c r="K55" s="35"/>
      <c r="L55" s="35"/>
      <c r="M55" s="39"/>
    </row>
    <row r="56" spans="1:13" s="38" customFormat="1" ht="12.75">
      <c r="A56" s="41"/>
      <c r="B56" s="35"/>
      <c r="C56" s="35"/>
      <c r="E56" s="39"/>
      <c r="F56" s="40"/>
      <c r="G56" s="35"/>
      <c r="H56" s="35"/>
      <c r="I56" s="35"/>
      <c r="J56" s="35"/>
      <c r="K56" s="35"/>
      <c r="L56" s="35"/>
      <c r="M56" s="39"/>
    </row>
    <row r="57" spans="1:12" ht="12.75">
      <c r="A57" s="27"/>
      <c r="B57" s="25"/>
      <c r="C57" s="25"/>
      <c r="D57" s="25"/>
      <c r="F57" s="26"/>
      <c r="G57" s="25"/>
      <c r="H57" s="25"/>
      <c r="I57" s="25"/>
      <c r="J57" s="25"/>
      <c r="K57" s="25"/>
      <c r="L57" s="25"/>
    </row>
    <row r="58" spans="1:13" ht="12.75">
      <c r="A58" s="112" t="s">
        <v>23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4"/>
    </row>
    <row r="59" ht="12.75">
      <c r="A59" s="23"/>
    </row>
    <row r="60" spans="1:14" ht="13.5">
      <c r="A60" s="28"/>
      <c r="D60" s="10" t="s">
        <v>4</v>
      </c>
      <c r="E60" s="111" t="s">
        <v>46</v>
      </c>
      <c r="F60" s="111"/>
      <c r="G60" s="111"/>
      <c r="H60" s="111"/>
      <c r="I60" s="111"/>
      <c r="J60" s="111"/>
      <c r="K60" s="10" t="s">
        <v>5</v>
      </c>
      <c r="L60" s="45" t="s">
        <v>37</v>
      </c>
      <c r="M60" s="10" t="s">
        <v>24</v>
      </c>
      <c r="N60" s="15"/>
    </row>
    <row r="61" spans="1:14" ht="12.75">
      <c r="A61" s="29"/>
      <c r="D61" s="8" t="s">
        <v>12</v>
      </c>
      <c r="E61" s="8" t="s">
        <v>43</v>
      </c>
      <c r="F61" s="49" t="s">
        <v>44</v>
      </c>
      <c r="G61" s="8" t="s">
        <v>45</v>
      </c>
      <c r="H61" s="30"/>
      <c r="I61" s="8" t="s">
        <v>54</v>
      </c>
      <c r="J61" s="49" t="s">
        <v>55</v>
      </c>
      <c r="K61" s="8" t="s">
        <v>14</v>
      </c>
      <c r="L61" s="46" t="s">
        <v>38</v>
      </c>
      <c r="M61" s="8" t="s">
        <v>25</v>
      </c>
      <c r="N61" s="15"/>
    </row>
    <row r="62" spans="2:14" ht="12.75">
      <c r="B62" s="31"/>
      <c r="C62" s="31"/>
      <c r="D62" s="31"/>
      <c r="E62" s="47"/>
      <c r="F62" s="47"/>
      <c r="G62" s="50"/>
      <c r="H62" s="48"/>
      <c r="I62" s="47"/>
      <c r="J62" s="47"/>
      <c r="K62" s="47"/>
      <c r="L62" s="47"/>
      <c r="M62" s="33"/>
      <c r="N62" s="51"/>
    </row>
    <row r="63" spans="2:14" ht="12.75">
      <c r="B63" s="31" t="s">
        <v>53</v>
      </c>
      <c r="C63" s="31"/>
      <c r="D63" s="47">
        <v>0.45</v>
      </c>
      <c r="E63" s="47">
        <v>0.3</v>
      </c>
      <c r="F63" s="47">
        <v>0.023</v>
      </c>
      <c r="G63" s="50">
        <v>0.005</v>
      </c>
      <c r="H63" s="48"/>
      <c r="I63" s="67">
        <v>0.009</v>
      </c>
      <c r="J63" s="67">
        <v>0.013</v>
      </c>
      <c r="K63" s="47">
        <v>0.1</v>
      </c>
      <c r="L63" s="47">
        <v>0.1</v>
      </c>
      <c r="M63" s="33">
        <v>0</v>
      </c>
      <c r="N63" s="51"/>
    </row>
    <row r="64" spans="1:13" s="22" customFormat="1" ht="12.75">
      <c r="A64" s="3"/>
      <c r="B64" s="31"/>
      <c r="C64" s="31"/>
      <c r="D64" s="31"/>
      <c r="E64" s="47"/>
      <c r="F64" s="47"/>
      <c r="G64" s="50"/>
      <c r="H64" s="48"/>
      <c r="I64" s="47"/>
      <c r="J64" s="47"/>
      <c r="K64" s="47"/>
      <c r="L64" s="47"/>
      <c r="M64" s="33"/>
    </row>
    <row r="65" spans="1:13" s="22" customFormat="1" ht="12.75">
      <c r="A65" s="3"/>
      <c r="B65" s="31"/>
      <c r="C65" s="31"/>
      <c r="D65" s="31"/>
      <c r="E65" s="25"/>
      <c r="F65" s="26"/>
      <c r="G65" s="32"/>
      <c r="H65" s="25"/>
      <c r="I65" s="32"/>
      <c r="J65" s="32"/>
      <c r="K65" s="32"/>
      <c r="L65" s="32"/>
      <c r="M65" s="33"/>
    </row>
    <row r="66" ht="12.75">
      <c r="A66" s="27" t="s">
        <v>50</v>
      </c>
    </row>
  </sheetData>
  <sheetProtection/>
  <mergeCells count="10">
    <mergeCell ref="I10:M10"/>
    <mergeCell ref="A31:M31"/>
    <mergeCell ref="A58:M58"/>
    <mergeCell ref="E60:J60"/>
    <mergeCell ref="A1:M1"/>
    <mergeCell ref="A2:M2"/>
    <mergeCell ref="A3:M3"/>
    <mergeCell ref="A4:M4"/>
    <mergeCell ref="A5:M5"/>
    <mergeCell ref="A8:M8"/>
  </mergeCells>
  <hyperlinks>
    <hyperlink ref="A4" r:id="rId1" display="www.jakes58.com"/>
  </hyperlinks>
  <printOptions horizontalCentered="1"/>
  <pageMargins left="0.25" right="0.25" top="0.75" bottom="0.5" header="0.5" footer="0.5"/>
  <pageSetup fitToHeight="1" fitToWidth="1" horizontalDpi="600" verticalDpi="600" orientation="portrait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Day, Zachary (GAMING)</cp:lastModifiedBy>
  <cp:lastPrinted>2023-04-04T14:16:08Z</cp:lastPrinted>
  <dcterms:created xsi:type="dcterms:W3CDTF">2007-10-10T21:23:19Z</dcterms:created>
  <dcterms:modified xsi:type="dcterms:W3CDTF">2024-04-08T18:59:39Z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